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tqsf5\don$\Performance organisationnelle\Tarifs TRPA\MÉCANISME\Officiel\2024-2025\"/>
    </mc:Choice>
  </mc:AlternateContent>
  <xr:revisionPtr revIDLastSave="0" documentId="13_ncr:1_{2F7D672F-2E5C-4B65-BC45-6CEAE8AA7487}" xr6:coauthVersionLast="47" xr6:coauthVersionMax="47" xr10:uidLastSave="{00000000-0000-0000-0000-000000000000}"/>
  <bookViews>
    <workbookView xWindow="-110" yWindow="-110" windowWidth="38620" windowHeight="21220" tabRatio="506" xr2:uid="{00000000-000D-0000-FFFF-FFFF00000000}"/>
  </bookViews>
  <sheets>
    <sheet name="CALCUL ICT" sheetId="21" r:id="rId1"/>
    <sheet name="DONNÉES STATCAN" sheetId="15" r:id="rId2"/>
    <sheet name="Données aut. FE" sheetId="22" r:id="rId3"/>
    <sheet name="CALCUL PROPOSÉ DES TARIFS" sheetId="17" r:id="rId4"/>
    <sheet name="Dates de diffusion StatCan" sheetId="16" r:id="rId5"/>
  </sheets>
  <definedNames>
    <definedName name="_xlnm.Print_Titles" localSheetId="3">'CALCUL PROPOSÉ DES TARIFS'!$1:$1</definedName>
    <definedName name="_xlnm.Print_Titles" localSheetId="1">'DONNÉES STATCAN'!$1:$13</definedName>
    <definedName name="_xlnm.Print_Area" localSheetId="0">'CALCUL ICT'!$A$1:$L$15</definedName>
    <definedName name="_xlnm.Print_Area" localSheetId="1">'DONNÉES STATCAN'!$A$1:$K$13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22" l="1"/>
  <c r="D43" i="22"/>
  <c r="D53" i="15"/>
  <c r="F53" i="15"/>
  <c r="G53" i="15" a="1"/>
  <c r="G53" i="15" s="1"/>
  <c r="L27" i="17"/>
  <c r="L25" i="17"/>
  <c r="L24" i="17"/>
  <c r="D42" i="22"/>
  <c r="D41" i="22"/>
  <c r="D40" i="22"/>
  <c r="E40" i="22"/>
  <c r="D36" i="22"/>
  <c r="D37" i="22"/>
  <c r="N7" i="21" l="1"/>
  <c r="N5" i="21"/>
  <c r="O5" i="21" s="1"/>
  <c r="P5" i="21" s="1"/>
  <c r="E45" i="22" a="1"/>
  <c r="E45" i="22" s="1"/>
  <c r="N8" i="21" s="1"/>
  <c r="C45" i="22" a="1"/>
  <c r="C45" i="22" s="1"/>
  <c r="M8" i="21" s="1"/>
  <c r="D33" i="22" l="1"/>
  <c r="D45" i="22" s="1" a="1"/>
  <c r="D45" i="22" s="1"/>
  <c r="M7" i="21" s="1"/>
  <c r="K53" i="15"/>
  <c r="N13" i="21" s="1"/>
  <c r="O13" i="21" s="1"/>
  <c r="P13" i="21" s="1"/>
  <c r="J53" i="15"/>
  <c r="N12" i="21" s="1"/>
  <c r="O12" i="21" s="1"/>
  <c r="P12" i="21" s="1"/>
  <c r="I53" i="15"/>
  <c r="N11" i="21" s="1"/>
  <c r="O11" i="21" s="1"/>
  <c r="P11" i="21" s="1"/>
  <c r="H53" i="15"/>
  <c r="N10" i="21" s="1"/>
  <c r="O10" i="21" s="1"/>
  <c r="P10" i="21" s="1"/>
  <c r="N9" i="21"/>
  <c r="O9" i="21" s="1"/>
  <c r="P9" i="21" s="1"/>
  <c r="E53" i="15"/>
  <c r="N6" i="21" s="1"/>
  <c r="O6" i="21" s="1"/>
  <c r="P6" i="21" s="1"/>
  <c r="C53" i="15"/>
  <c r="N4" i="21" s="1"/>
  <c r="O4" i="21" s="1"/>
  <c r="P4" i="21" s="1"/>
  <c r="L5" i="17" l="1"/>
  <c r="D32" i="22"/>
  <c r="E27" i="22" l="1"/>
  <c r="E28" i="22" s="1"/>
  <c r="E29" i="22" s="1"/>
  <c r="E30" i="22" s="1"/>
  <c r="E31" i="22" s="1"/>
  <c r="E14" i="22"/>
  <c r="D40" i="15"/>
  <c r="F40" i="15"/>
  <c r="F18" i="17" l="1"/>
  <c r="E18" i="17"/>
  <c r="E2" i="17"/>
  <c r="C2" i="17"/>
  <c r="C18" i="17" s="1"/>
  <c r="E32" i="22" l="1" a="1"/>
  <c r="E32" i="22" s="1"/>
  <c r="J8" i="21" s="1"/>
  <c r="F13" i="21" l="1"/>
  <c r="G13" i="21" s="1"/>
  <c r="F12" i="21"/>
  <c r="G12" i="21" s="1"/>
  <c r="F11" i="21"/>
  <c r="G11" i="21" s="1"/>
  <c r="F10" i="21"/>
  <c r="G10" i="21" s="1"/>
  <c r="F9" i="21"/>
  <c r="G9" i="21" s="1"/>
  <c r="F7" i="21"/>
  <c r="F6" i="21"/>
  <c r="G6" i="21" s="1"/>
  <c r="F5" i="21"/>
  <c r="G5" i="21" s="1"/>
  <c r="F4" i="21"/>
  <c r="G4" i="21" s="1"/>
  <c r="K40" i="15"/>
  <c r="J13" i="21" s="1"/>
  <c r="K13" i="21" s="1"/>
  <c r="J40" i="15"/>
  <c r="J12" i="21" s="1"/>
  <c r="K12" i="21" s="1"/>
  <c r="I40" i="15"/>
  <c r="J11" i="21" s="1"/>
  <c r="K11" i="21" s="1"/>
  <c r="H40" i="15"/>
  <c r="J10" i="21" s="1"/>
  <c r="K10" i="21" s="1"/>
  <c r="G40" i="15"/>
  <c r="J9" i="21" s="1"/>
  <c r="K9" i="21" s="1"/>
  <c r="J7" i="21"/>
  <c r="E40" i="15"/>
  <c r="J6" i="21" s="1"/>
  <c r="K6" i="21" s="1"/>
  <c r="J5" i="21"/>
  <c r="K5" i="21" s="1"/>
  <c r="C40" i="15"/>
  <c r="J4" i="21" s="1"/>
  <c r="K4" i="21" s="1"/>
  <c r="D8" i="21"/>
  <c r="D7" i="21"/>
  <c r="G7" i="21" l="1"/>
  <c r="K7" i="21" s="1"/>
  <c r="I7" i="21"/>
  <c r="I8" i="21"/>
  <c r="E19" i="22" a="1"/>
  <c r="E19" i="22" s="1"/>
  <c r="D13" i="21"/>
  <c r="D12" i="21"/>
  <c r="D11" i="21"/>
  <c r="D10" i="21"/>
  <c r="D9" i="21"/>
  <c r="D6" i="21"/>
  <c r="D5" i="21"/>
  <c r="D4" i="21"/>
  <c r="K27" i="15"/>
  <c r="J27" i="15"/>
  <c r="I27" i="15"/>
  <c r="H27" i="15"/>
  <c r="G27" i="15"/>
  <c r="F27" i="15"/>
  <c r="E27" i="15"/>
  <c r="D27" i="15"/>
  <c r="C27" i="15"/>
  <c r="O7" i="21" l="1"/>
  <c r="P7" i="21" s="1"/>
  <c r="F8" i="21"/>
  <c r="G8" i="21" s="1"/>
  <c r="K8" i="21" l="1"/>
  <c r="O8" i="21"/>
  <c r="P8" i="21" s="1"/>
  <c r="C7" i="21"/>
  <c r="C8" i="21"/>
  <c r="L8" i="21"/>
  <c r="N14" i="21" l="1"/>
  <c r="N15" i="21" s="1"/>
  <c r="C4" i="17" s="1"/>
  <c r="C58" i="16"/>
  <c r="B58" i="16"/>
  <c r="C57" i="16"/>
  <c r="B57" i="16"/>
  <c r="C56" i="16"/>
  <c r="B56" i="16"/>
  <c r="C55" i="16"/>
  <c r="B55" i="16"/>
  <c r="C54" i="16"/>
  <c r="B54" i="16"/>
  <c r="C53" i="16"/>
  <c r="B53" i="16"/>
  <c r="C52" i="16"/>
  <c r="B52" i="16"/>
  <c r="C51" i="16"/>
  <c r="B51" i="16"/>
  <c r="C50" i="16"/>
  <c r="B50" i="16"/>
  <c r="C49" i="16"/>
  <c r="B49" i="16"/>
  <c r="C48" i="16"/>
  <c r="B48" i="16"/>
  <c r="C47" i="16"/>
  <c r="B47" i="16"/>
  <c r="C46" i="16"/>
  <c r="B46" i="16"/>
  <c r="C45" i="16"/>
  <c r="B45" i="16"/>
  <c r="C44" i="16"/>
  <c r="B44" i="16"/>
  <c r="L16" i="17" l="1"/>
  <c r="B11" i="17" l="1"/>
  <c r="B6" i="17"/>
  <c r="B9" i="17" s="1"/>
  <c r="L28" i="17" l="1"/>
  <c r="L7" i="21" l="1"/>
  <c r="L5" i="21"/>
  <c r="L11" i="21"/>
  <c r="L12" i="21"/>
  <c r="L13" i="21"/>
  <c r="L6" i="21"/>
  <c r="L9" i="21" l="1"/>
  <c r="L4" i="21"/>
  <c r="L10" i="21"/>
  <c r="J14" i="21" l="1"/>
  <c r="J15" i="21" l="1"/>
  <c r="D4" i="17" s="1"/>
  <c r="E4" i="17" s="1"/>
  <c r="C5" i="17"/>
  <c r="D5" i="17" s="1"/>
  <c r="E5" i="17" s="1"/>
  <c r="C27" i="17"/>
  <c r="D27" i="17" s="1"/>
  <c r="E27" i="17" s="1"/>
  <c r="C6" i="17"/>
  <c r="D6" i="17" s="1"/>
  <c r="E6" i="17" s="1"/>
  <c r="C26" i="17"/>
  <c r="D26" i="17" s="1"/>
  <c r="E26" i="17" s="1"/>
  <c r="C23" i="17"/>
  <c r="D23" i="17" s="1"/>
  <c r="E23" i="17" s="1"/>
  <c r="C21" i="17"/>
  <c r="D21" i="17" s="1"/>
  <c r="E21" i="17" s="1"/>
  <c r="C22" i="17"/>
  <c r="D22" i="17" s="1"/>
  <c r="E22" i="17" s="1"/>
  <c r="C25" i="17"/>
  <c r="D25" i="17" s="1"/>
  <c r="E25" i="17" s="1"/>
  <c r="C24" i="17" l="1"/>
  <c r="D24" i="17" s="1"/>
  <c r="E24" i="17" s="1"/>
  <c r="F21" i="17"/>
  <c r="G21" i="17"/>
  <c r="G23" i="17"/>
  <c r="F23" i="17"/>
  <c r="G26" i="17"/>
  <c r="F26" i="17"/>
  <c r="F25" i="17"/>
  <c r="G25" i="17"/>
  <c r="G6" i="17"/>
  <c r="F6" i="17"/>
  <c r="E7" i="17"/>
  <c r="G27" i="17"/>
  <c r="F27" i="17"/>
  <c r="G5" i="17"/>
  <c r="F5" i="17"/>
  <c r="F24" i="17"/>
  <c r="G24" i="17"/>
  <c r="G22" i="17"/>
  <c r="F22" i="17"/>
  <c r="F4" i="17"/>
  <c r="G4" i="17"/>
  <c r="E9" i="17"/>
  <c r="F9" i="17" s="1"/>
  <c r="I26" i="17" l="1"/>
  <c r="H26" i="17"/>
  <c r="H27" i="17"/>
  <c r="I27" i="17"/>
  <c r="I5" i="17"/>
  <c r="H5" i="17"/>
  <c r="F7" i="17"/>
  <c r="G7" i="17"/>
  <c r="E11" i="17"/>
  <c r="I23" i="17"/>
  <c r="H23" i="17"/>
  <c r="I22" i="17"/>
  <c r="H22" i="17"/>
  <c r="H21" i="17"/>
  <c r="I21" i="17"/>
  <c r="I25" i="17"/>
  <c r="H25" i="17"/>
  <c r="H4" i="17"/>
  <c r="I4" i="17"/>
  <c r="J4" i="17" s="1"/>
  <c r="H24" i="17"/>
  <c r="I24" i="17"/>
  <c r="H6" i="17"/>
  <c r="I6" i="17"/>
  <c r="J25" i="17" l="1"/>
  <c r="J24" i="17"/>
  <c r="J27" i="17"/>
  <c r="J6" i="17"/>
  <c r="J21" i="17"/>
  <c r="I7" i="17"/>
  <c r="H7" i="17"/>
  <c r="J5" i="17"/>
  <c r="J22" i="17"/>
  <c r="J23" i="17"/>
  <c r="J26" i="17"/>
  <c r="J7"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<sst xmlns="http://schemas.openxmlformats.org/spreadsheetml/2006/main" count="388" uniqueCount="225">
  <si>
    <t>évolution pondéré</t>
  </si>
  <si>
    <t>Indice des prix à la consommation (IPC), panier 2011, mensuel (2002=100)</t>
  </si>
  <si>
    <t>IPC Essence (moyenne sur 12 mois, de septembre à août)</t>
  </si>
  <si>
    <r>
      <t>Sexe</t>
    </r>
    <r>
      <rPr>
        <sz val="10"/>
        <rFont val="Calibri"/>
        <family val="2"/>
      </rPr>
      <t xml:space="preserve"> = Les deux sexes</t>
    </r>
  </si>
  <si>
    <r>
      <t>Groupe d'âge</t>
    </r>
    <r>
      <rPr>
        <sz val="10"/>
        <rFont val="Calibri"/>
        <family val="2"/>
      </rPr>
      <t xml:space="preserve"> = 15 ans et plus</t>
    </r>
  </si>
  <si>
    <t>Total des employés, toutes les industries</t>
  </si>
  <si>
    <t>IPC d'ensemble excluant les aliments et l'énergie</t>
  </si>
  <si>
    <t>Services</t>
  </si>
  <si>
    <t>IPC Services</t>
  </si>
  <si>
    <t>Salaire hebdomadaire moyen – Toutes les industries</t>
  </si>
  <si>
    <t>IPC d’ensemble excluant les aliments et l’énergie</t>
  </si>
  <si>
    <t>% évolution</t>
  </si>
  <si>
    <t>Indice des prix à la consommation</t>
  </si>
  <si>
    <t>Date de diffusion</t>
  </si>
  <si>
    <t>Période de référence</t>
  </si>
  <si>
    <t>Enquête sur la population active (EPA), estimations du salaire des employés selon le genre de travail</t>
  </si>
  <si>
    <t>Composante tarifaire</t>
  </si>
  <si>
    <t>Prix de départ</t>
  </si>
  <si>
    <t>Prix par kilomètre parcouru</t>
  </si>
  <si>
    <t>Prix par minute d'attente</t>
  </si>
  <si>
    <t>Course étalon
(5 km et 4 min. d'attente)</t>
  </si>
  <si>
    <t>A</t>
  </si>
  <si>
    <t>C</t>
  </si>
  <si>
    <t>D</t>
  </si>
  <si>
    <t>E</t>
  </si>
  <si>
    <t>: aux 0,05 $ inférieurs</t>
  </si>
  <si>
    <t>: au 0,01 $ supérieur</t>
  </si>
  <si>
    <t>POIDS %</t>
  </si>
  <si>
    <t>Transport et entreposage (moyenne 12 mois)</t>
  </si>
  <si>
    <t>Essence
(moyenne 12 mois)</t>
  </si>
  <si>
    <r>
      <t>Genre de travail</t>
    </r>
    <r>
      <rPr>
        <sz val="10"/>
        <rFont val="Calibri"/>
        <family val="2"/>
      </rPr>
      <t>=Ensemble des employés temps plein et partiel</t>
    </r>
  </si>
  <si>
    <t>SCIAN 4</t>
  </si>
  <si>
    <t xml:space="preserve">                      
Période</t>
  </si>
  <si>
    <t xml:space="preserve">Produits et groupes de produits </t>
  </si>
  <si>
    <r>
      <t>Géographie</t>
    </r>
    <r>
      <rPr>
        <sz val="10"/>
        <rFont val="Calibri"/>
        <family val="2"/>
      </rPr>
      <t xml:space="preserve"> = Québec (province)</t>
    </r>
  </si>
  <si>
    <t>Données sources de Statistique Canada servant au calcul de l'indice des coûts du taxi</t>
  </si>
  <si>
    <t>Nom de l'indicateur de 
Statistique Canada</t>
  </si>
  <si>
    <r>
      <rPr>
        <b/>
        <sz val="10"/>
        <rFont val="Calibri"/>
        <family val="2"/>
      </rPr>
      <t>Salaire</t>
    </r>
    <r>
      <rPr>
        <sz val="10"/>
        <rFont val="Calibri"/>
        <family val="2"/>
      </rPr>
      <t xml:space="preserve"> = Salaire hebdomadaire moyen</t>
    </r>
  </si>
  <si>
    <r>
      <rPr>
        <b/>
        <sz val="10"/>
        <rFont val="Calibri"/>
        <family val="2"/>
      </rPr>
      <t>Géographie</t>
    </r>
    <r>
      <rPr>
        <sz val="10"/>
        <rFont val="Calibri"/>
        <family val="2"/>
      </rPr>
      <t xml:space="preserve"> = Québec (province)</t>
    </r>
  </si>
  <si>
    <t>Source:</t>
  </si>
  <si>
    <t>Pièces, entretien et réparation  de véhicules automobiles</t>
  </si>
  <si>
    <t>Primes d'assurance de véhicules automobiles</t>
  </si>
  <si>
    <t>Frais d'immatriculation véhicules automobiles</t>
  </si>
  <si>
    <t>IPC Achat et location à bail de véhicules automobiles</t>
  </si>
  <si>
    <t>IPC Pièces, entretien et réparation de véhicules automobiles</t>
  </si>
  <si>
    <t>IPC Primes d’assurance de véhicules automobiles</t>
  </si>
  <si>
    <t>IPC Frais d’immatriculation de véhicules automobiles</t>
  </si>
  <si>
    <t>Achat et location à bail de véhicules automobiles</t>
  </si>
  <si>
    <t>Formules pour extraction des dates du PDF</t>
  </si>
  <si>
    <t>F</t>
  </si>
  <si>
    <t>G</t>
  </si>
  <si>
    <t>H</t>
  </si>
  <si>
    <t>Vitesse de transition (km/h)
 (vitesse en dessous de laquelle le taximètre compte le temps plutôt que la distance)</t>
  </si>
  <si>
    <t>Autres tarifs</t>
  </si>
  <si>
    <t>Course entre aéroport Montréal-Trudeau et centre-ville de Montréal</t>
  </si>
  <si>
    <t>Course entre aéroport Jean-Lesage et centre-ville de Québec</t>
  </si>
  <si>
    <t>Prix minimum pour une course origine aéroport Montréal-Trudeau</t>
  </si>
  <si>
    <t>Course entre aéroport Jean-Lesage et zone de Sainte-Foy</t>
  </si>
  <si>
    <t>Tarifs applicables à Saint-Augustin</t>
  </si>
  <si>
    <t>page 2</t>
  </si>
  <si>
    <t>Tarif par kilomètre : Baie-James et Fermont</t>
  </si>
  <si>
    <t>Tarif minimal : Baie-James et Fermont</t>
  </si>
  <si>
    <t>Progression annuelle de l'ICT</t>
  </si>
  <si>
    <t>Indice des coûts du taxi (ICT)</t>
  </si>
  <si>
    <t>Tableau 18-10-0004-01 (anciennement CANSIM 326-0020)</t>
  </si>
  <si>
    <t>Source :https://www150.statcan.gc.ca/t1/tbl1/fr/cv.action?pid=1810000401</t>
  </si>
  <si>
    <t>Feuille de calcul des tarifs proposés de transport par taxi selon l'ICT</t>
  </si>
  <si>
    <t>Source : https://www150.statcan.gc.ca/t1/tbl1/fr/cv.action?pid=1410006301</t>
  </si>
  <si>
    <t>Tableau  14-10-0063-01 (anciennement CANSIM 282-0071)</t>
  </si>
  <si>
    <t>I</t>
  </si>
  <si>
    <t>Valeur nouveaux tarifs
= A x (1 + C/100)</t>
  </si>
  <si>
    <t>Prix tarifs proposés avant taxes
= E / 1,14975</t>
  </si>
  <si>
    <t>TPS
= G x 5 %</t>
  </si>
  <si>
    <t>TVQ
= H x 9,975 %</t>
  </si>
  <si>
    <t>G + H + I</t>
  </si>
  <si>
    <t>Vérification somme
(comparer avec E)</t>
  </si>
  <si>
    <t>TVQ
= G x 9,975 %</t>
  </si>
  <si>
    <t>: aux 0,05 $ le plus près</t>
  </si>
  <si>
    <r>
      <t xml:space="preserve">Enquête sur la population active (EPA), </t>
    </r>
    <r>
      <rPr>
        <sz val="10"/>
        <rFont val="Calibri"/>
        <family val="2"/>
      </rPr>
      <t>estimations du salaire des employés selon le genre de travail, le Système de classification des industries de l'Amérique du Nord (SCIAN), le sexe et le groupe d'âge, non désaisonnalisées, mensuel (dollars courants).
Les données ont été révisées en janvier 2021 (voir https://www150.statcan.gc.ca/n1/pub/71f0031x/71f0031x2021001-fra.htm)</t>
    </r>
  </si>
  <si>
    <t>Salaire hebdomadaire moyen – Transport et entreposage (moyenne sur 12 mois)
de septembre à août)</t>
  </si>
  <si>
    <t>20 janvier 2021 Décembre 2020</t>
  </si>
  <si>
    <t>17 février 2021 Janvier 2021</t>
  </si>
  <si>
    <t>17 mars 2021 Février 2021</t>
  </si>
  <si>
    <t>21 avril 2021 Mars 2021</t>
  </si>
  <si>
    <t>19 mai 2021 Avril 2021</t>
  </si>
  <si>
    <t>16 juin 2021 Mai 2021</t>
  </si>
  <si>
    <t>28 juillet 2021 Juin 2021</t>
  </si>
  <si>
    <t>18 août 2021 Juillet 2021</t>
  </si>
  <si>
    <t>15 septembre 2021 Août 2021</t>
  </si>
  <si>
    <t>20 octobre 2021 Septembre 2021</t>
  </si>
  <si>
    <t>17 novembre 2021 Octobre 2021</t>
  </si>
  <si>
    <t>15 décembre 2021 Novembre 2021</t>
  </si>
  <si>
    <t>19 janvier 2022 Décembre 2021</t>
  </si>
  <si>
    <t>23 février 2022 Janvier 2022</t>
  </si>
  <si>
    <t>16 mars 2022 Février 2022</t>
  </si>
  <si>
    <r>
      <t xml:space="preserve">Période </t>
    </r>
    <r>
      <rPr>
        <b/>
        <sz val="11"/>
        <rFont val="Arial"/>
        <family val="2"/>
      </rPr>
      <t>→</t>
    </r>
  </si>
  <si>
    <t>Valeur de rechange pour correction tarif + taxes 
(si nécessaire)</t>
  </si>
  <si>
    <t>Valeur de rechange avec taxes
(si nécessaire)</t>
  </si>
  <si>
    <t>Valeur de rechange pour correction tarif + taxes
(si nécessaire)</t>
  </si>
  <si>
    <t>Note : règles d'arrondissement</t>
  </si>
  <si>
    <t>Prix par heure d'attente (prix par minute X 60)</t>
  </si>
  <si>
    <t>août 2022</t>
  </si>
  <si>
    <t>IPC électricité</t>
  </si>
  <si>
    <t>Poids pondéré</t>
  </si>
  <si>
    <t>NA</t>
  </si>
  <si>
    <t>2022 septembre</t>
  </si>
  <si>
    <t>2022 octobre</t>
  </si>
  <si>
    <t>2022 novembre</t>
  </si>
  <si>
    <t>2022 décembre</t>
  </si>
  <si>
    <t>2023 janvier</t>
  </si>
  <si>
    <t>2023 février</t>
  </si>
  <si>
    <t>2023 mars</t>
  </si>
  <si>
    <t>2023 avril</t>
  </si>
  <si>
    <t>2023 mai</t>
  </si>
  <si>
    <t>2023 juin</t>
  </si>
  <si>
    <t>2023 juillet</t>
  </si>
  <si>
    <t>2023 août</t>
  </si>
  <si>
    <t>2022
(ANNÉE 0)</t>
  </si>
  <si>
    <t>2022 Officiel</t>
  </si>
  <si>
    <t>2022 Septembre</t>
  </si>
  <si>
    <t>2022 Octobre</t>
  </si>
  <si>
    <t>2022 Novembre</t>
  </si>
  <si>
    <t>2023
(ANNÉE 1)</t>
  </si>
  <si>
    <t>2022 final</t>
  </si>
  <si>
    <t>Indice d'évolution des coûts de l'électricité</t>
  </si>
  <si>
    <t>Source : Commission des transports du Québec * voir note de bas de page</t>
  </si>
  <si>
    <t>août 2023</t>
  </si>
  <si>
    <t>2024
(ANNÉE 2)</t>
  </si>
  <si>
    <t>2024 janvier</t>
  </si>
  <si>
    <t>2024 février</t>
  </si>
  <si>
    <t>2024 mars</t>
  </si>
  <si>
    <t>2024 avril</t>
  </si>
  <si>
    <t>2024 mai</t>
  </si>
  <si>
    <t>2024 juin</t>
  </si>
  <si>
    <t>2024 juillet</t>
  </si>
  <si>
    <t>2024 août</t>
  </si>
  <si>
    <t>2023 septembre</t>
  </si>
  <si>
    <t>2023 octobre</t>
  </si>
  <si>
    <t>2023 novembre</t>
  </si>
  <si>
    <t>2023 décembre</t>
  </si>
  <si>
    <t>2022-2023</t>
  </si>
  <si>
    <t>2023-2024</t>
  </si>
  <si>
    <t>2023 Septembre</t>
  </si>
  <si>
    <t>2023 Octobre</t>
  </si>
  <si>
    <t>2023 Novembre</t>
  </si>
  <si>
    <t>2023-2024 Final</t>
  </si>
  <si>
    <t>2022-2023 Final</t>
  </si>
  <si>
    <r>
      <t xml:space="preserve">Tarifs en vigueur à partir du
</t>
    </r>
    <r>
      <rPr>
        <b/>
        <sz val="12"/>
        <rFont val="Calibri"/>
        <family val="2"/>
        <scheme val="minor"/>
      </rPr>
      <t>12 septembre 2022</t>
    </r>
  </si>
  <si>
    <t>Variation
2023/2022
= (E - A)/A</t>
  </si>
  <si>
    <t>* L'indice d'évolution des coûts de l'électricité est un indicateur créé par la Commission suivant l'évolution des coûts d'électricité pour recharger les automobiles à faibles émissions (hybrides rechargeables et électriques). L'indicateur a été fixé à 100 au 31 août 2022 et sera ajusté annuellement en avril en suivant les augmentations appliquées aux tarifs d'Hydro-Québec. 
La composante "Carburant" de l'ICT a été divisée en deux : une partie portant sur l'essence et l’autre portant sur le coût de l'électricité. Ces deux sous-composantes sont pondérées en fonction de la proportion d’automobiles qualifiées à faibles émissions. À terme, la part de l'essence dans la composante "Carburant" diminuera en fonction de l'évolution de la motorisation du parc d'automobiles autorisées par la SAAQ.</t>
  </si>
  <si>
    <t>Décembre 2024</t>
  </si>
  <si>
    <t>Janvier 2025</t>
  </si>
  <si>
    <t>Février 2025</t>
  </si>
  <si>
    <t>21 janvier 2025</t>
  </si>
  <si>
    <t>18 février 2025</t>
  </si>
  <si>
    <t>18 mars 2025</t>
  </si>
  <si>
    <t>10 janvier 2025</t>
  </si>
  <si>
    <t>7 février 2025</t>
  </si>
  <si>
    <t>7 mars 2025</t>
  </si>
  <si>
    <t>ND **</t>
  </si>
  <si>
    <t>août 2024</t>
  </si>
  <si>
    <t>2025
(ANNÉE 3)</t>
  </si>
  <si>
    <t>2024-2025</t>
  </si>
  <si>
    <t>2025 janvier</t>
  </si>
  <si>
    <t>2025 février</t>
  </si>
  <si>
    <t>2025 mars</t>
  </si>
  <si>
    <t>2025 avril</t>
  </si>
  <si>
    <t>2025 mai</t>
  </si>
  <si>
    <t>2025 juin</t>
  </si>
  <si>
    <t>2025 juillet</t>
  </si>
  <si>
    <t>2025 août</t>
  </si>
  <si>
    <t>2024 septembre</t>
  </si>
  <si>
    <t>2024 octobre</t>
  </si>
  <si>
    <t>2024 novembre</t>
  </si>
  <si>
    <t>2024 décembre</t>
  </si>
  <si>
    <t>2024-2025 Final</t>
  </si>
  <si>
    <t>2024 Septembre</t>
  </si>
  <si>
    <t>2024 Octobre</t>
  </si>
  <si>
    <t>2024 Novembre</t>
  </si>
  <si>
    <t>% Automobiles non à faibles émissions</t>
  </si>
  <si>
    <t>% Automobiles à  faibles émissions</t>
  </si>
  <si>
    <t xml:space="preserve">Motorisation des automobiles autorisées par la SAAQ
Source: Société de l'assurance automobile du Québec
</t>
  </si>
  <si>
    <t>** Données non disponibles</t>
  </si>
  <si>
    <t>Mars 2025</t>
  </si>
  <si>
    <t>Avril 2025</t>
  </si>
  <si>
    <t>Mai 2025</t>
  </si>
  <si>
    <t>Juin 2025</t>
  </si>
  <si>
    <t>Juillet 2025</t>
  </si>
  <si>
    <t>Août 2025</t>
  </si>
  <si>
    <t>Septembre 2025</t>
  </si>
  <si>
    <t>Octobre 2025</t>
  </si>
  <si>
    <t>Novembre 2025</t>
  </si>
  <si>
    <t>Décembre 2025</t>
  </si>
  <si>
    <t>Janvier 2026</t>
  </si>
  <si>
    <t>Février 2026</t>
  </si>
  <si>
    <t>15 avril 2025</t>
  </si>
  <si>
    <t>20 mai 2025</t>
  </si>
  <si>
    <t>24 juin 2025</t>
  </si>
  <si>
    <t>15 juillet 2025</t>
  </si>
  <si>
    <t>19 août 2025</t>
  </si>
  <si>
    <t>16 septembre 2025</t>
  </si>
  <si>
    <t>21 octobre 2025</t>
  </si>
  <si>
    <t>17 novembre 2025</t>
  </si>
  <si>
    <t>15 décembre 2025</t>
  </si>
  <si>
    <t>19 janvier 2026</t>
  </si>
  <si>
    <t>16 février 2026</t>
  </si>
  <si>
    <t>16 mars 2026</t>
  </si>
  <si>
    <t>4 avril 2025</t>
  </si>
  <si>
    <t>9 mai 2025</t>
  </si>
  <si>
    <t>6 juin 2025</t>
  </si>
  <si>
    <t>11 juillet 2025</t>
  </si>
  <si>
    <t>8 août 2025</t>
  </si>
  <si>
    <t>5 septembre 2025</t>
  </si>
  <si>
    <t>10 octobre 2025</t>
  </si>
  <si>
    <t>7 novembre 2025</t>
  </si>
  <si>
    <t>5 décembre 2025</t>
  </si>
  <si>
    <t>9 janvier 2026</t>
  </si>
  <si>
    <t>6 février 2026</t>
  </si>
  <si>
    <t>13 mars 2026</t>
  </si>
  <si>
    <t>https://www150.statcan.gc.ca/n1/release-diffusion/2025-fra.pdf</t>
  </si>
  <si>
    <t>Calendrier de diffusion de 2025 des principaux indicateurs économiques</t>
  </si>
  <si>
    <t>12,15,18</t>
  </si>
  <si>
    <t>juin 2024</t>
  </si>
  <si>
    <t xml:space="preserve">                              Indice des coûts du taxi (ICT) 2022 à 2025</t>
  </si>
  <si>
    <t>Indique la date de détermination officielle de l'ICT pour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</si>
</sst>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
    <numFmt numFmtId="165" formatCode="0.0"/>
    <numFmt numFmtId="166" formatCode="0.0%"/>
    <numFmt numFmtId="167" formatCode="0.000"/>
    <numFmt numFmtId="168" formatCode="0.000%"/>
    <numFmt numFmtId="169" formatCode="#,##0.000"/>
    <numFmt numFmtId="170" formatCode="0.00000"/>
    <numFmt numFmtId="171" formatCode="#,##0.000\ &quot;$&quot;"/>
    <numFmt numFmtId="172" formatCode="0.0000"/>
  </numFmts>
  <fonts count="34" x14ac:knownFonts="1">
    <font>
      <sz val="10"/>
      <name val="Arial"/>
    </font>
    <font>
      <sz val="8"/>
      <name val="Arial"/>
      <family val="2"/>
    </font>
    <font>
      <sz val="10"/>
      <name val="Arial"/>
      <family val="2"/>
    </font>
    <font>
      <b/>
      <sz val="11"/>
      <color indexed="8"/>
      <name val="Calibri"/>
      <family val="2"/>
    </font>
    <font>
      <sz val="10"/>
      <name val="Calibri"/>
      <family val="2"/>
    </font>
    <font>
      <b/>
      <sz val="10"/>
      <name val="Calibri"/>
      <family val="2"/>
    </font>
    <font>
      <b/>
      <sz val="10"/>
      <color indexed="8"/>
      <name val="Calibri"/>
      <family val="2"/>
    </font>
    <font>
      <b/>
      <sz val="12"/>
      <name val="Calibri"/>
      <family val="2"/>
    </font>
    <font>
      <b/>
      <sz val="16"/>
      <name val="Calibri"/>
      <family val="2"/>
    </font>
    <font>
      <sz val="18"/>
      <name val="Arial"/>
      <family val="2"/>
    </font>
    <font>
      <b/>
      <sz val="11"/>
      <name val="Calibri"/>
      <family val="2"/>
    </font>
    <font>
      <sz val="11"/>
      <name val="Arial"/>
      <family val="2"/>
    </font>
    <font>
      <sz val="18"/>
      <name val="Calibri"/>
      <family val="2"/>
    </font>
    <font>
      <b/>
      <sz val="10"/>
      <name val="Arial"/>
      <family val="2"/>
    </font>
    <font>
      <sz val="12"/>
      <name val="Calibri"/>
      <family val="2"/>
    </font>
    <font>
      <b/>
      <sz val="18"/>
      <name val="Calibri"/>
      <family val="2"/>
    </font>
    <font>
      <sz val="14"/>
      <name val="Arial"/>
      <family val="2"/>
    </font>
    <font>
      <u/>
      <sz val="10"/>
      <color theme="10"/>
      <name val="Arial"/>
      <family val="2"/>
    </font>
    <font>
      <b/>
      <sz val="10"/>
      <name val="Calibri"/>
      <family val="2"/>
      <scheme val="minor"/>
    </font>
    <font>
      <sz val="10"/>
      <name val="Calibri"/>
      <family val="2"/>
      <scheme val="minor"/>
    </font>
    <font>
      <sz val="11"/>
      <name val="Calibri"/>
      <family val="2"/>
      <scheme val="minor"/>
    </font>
    <font>
      <sz val="12"/>
      <name val="Calibri"/>
      <family val="2"/>
      <scheme val="minor"/>
    </font>
    <font>
      <b/>
      <sz val="11"/>
      <name val="Calibri"/>
      <family val="2"/>
      <scheme val="minor"/>
    </font>
    <font>
      <sz val="18"/>
      <name val="Calibri"/>
      <family val="2"/>
      <scheme val="minor"/>
    </font>
    <font>
      <b/>
      <sz val="12"/>
      <name val="Calibri"/>
      <family val="2"/>
      <scheme val="minor"/>
    </font>
    <font>
      <sz val="12"/>
      <color theme="0"/>
      <name val="Calibri"/>
      <family val="2"/>
      <scheme val="minor"/>
    </font>
    <font>
      <b/>
      <sz val="9"/>
      <name val="Calibri"/>
      <family val="2"/>
    </font>
    <font>
      <b/>
      <sz val="9"/>
      <name val="Calibri"/>
      <family val="2"/>
      <scheme val="minor"/>
    </font>
    <font>
      <b/>
      <sz val="11"/>
      <name val="Arial"/>
      <family val="2"/>
    </font>
    <font>
      <b/>
      <sz val="15"/>
      <name val="Calibri"/>
      <family val="2"/>
    </font>
    <font>
      <sz val="15"/>
      <name val="Arial"/>
      <family val="2"/>
    </font>
    <font>
      <sz val="8"/>
      <name val="Calibri"/>
      <family val="2"/>
    </font>
    <font>
      <sz val="10"/>
      <name val="Arial"/>
      <family val="2"/>
    </font>
    <font>
      <b/>
      <sz val="14"/>
      <name val="Arial"/>
      <family val="2"/>
    </font>
  </fonts>
  <fills count="15">
    <fill>
      <patternFill patternType="none"/>
    </fill>
    <fill>
      <patternFill patternType="gray125"/>
    </fill>
    <fill>
      <patternFill patternType="solid">
        <fgColor indexed="9"/>
        <bgColor indexed="64"/>
      </patternFill>
    </fill>
    <fill>
      <patternFill patternType="solid">
        <fgColor theme="4" tint="0.39994506668294322"/>
        <bgColor indexed="64"/>
      </patternFill>
    </fill>
    <fill>
      <patternFill patternType="solid">
        <fgColor rgb="FFFFFFFF"/>
        <bgColor indexed="64"/>
      </patternFill>
    </fill>
    <fill>
      <patternFill patternType="solid">
        <fgColor rgb="FFFFC000"/>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rgb="FF00B05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BAC6D0"/>
        <bgColor indexed="64"/>
      </patternFill>
    </fill>
  </fills>
  <borders count="109">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hair">
        <color indexed="64"/>
      </left>
      <right style="thin">
        <color indexed="64"/>
      </right>
      <top style="hair">
        <color indexed="64"/>
      </top>
      <bottom/>
      <diagonal/>
    </border>
    <border>
      <left style="thin">
        <color indexed="64"/>
      </left>
      <right/>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double">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hair">
        <color indexed="64"/>
      </top>
      <bottom/>
      <diagonal/>
    </border>
    <border>
      <left style="thin">
        <color indexed="64"/>
      </left>
      <right/>
      <top/>
      <bottom/>
      <diagonal/>
    </border>
    <border>
      <left/>
      <right style="thin">
        <color indexed="64"/>
      </right>
      <top/>
      <bottom style="double">
        <color indexed="64"/>
      </bottom>
      <diagonal/>
    </border>
    <border>
      <left/>
      <right/>
      <top style="double">
        <color indexed="64"/>
      </top>
      <bottom/>
      <diagonal/>
    </border>
    <border>
      <left style="thin">
        <color indexed="64"/>
      </left>
      <right/>
      <top style="double">
        <color indexed="64"/>
      </top>
      <bottom/>
      <diagonal/>
    </border>
    <border>
      <left/>
      <right/>
      <top/>
      <bottom style="thin">
        <color indexed="64"/>
      </bottom>
      <diagonal/>
    </border>
    <border>
      <left/>
      <right style="thick">
        <color indexed="64"/>
      </right>
      <top/>
      <bottom style="thin">
        <color indexed="64"/>
      </bottom>
      <diagonal/>
    </border>
    <border>
      <left/>
      <right/>
      <top style="hair">
        <color indexed="64"/>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right/>
      <top/>
      <bottom style="double">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hair">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ck">
        <color indexed="64"/>
      </left>
      <right style="thin">
        <color theme="2"/>
      </right>
      <top style="thick">
        <color indexed="64"/>
      </top>
      <bottom style="thin">
        <color theme="2"/>
      </bottom>
      <diagonal/>
    </border>
    <border>
      <left style="thin">
        <color theme="2"/>
      </left>
      <right style="thick">
        <color indexed="64"/>
      </right>
      <top style="thick">
        <color indexed="64"/>
      </top>
      <bottom style="thin">
        <color theme="2"/>
      </bottom>
      <diagonal/>
    </border>
    <border>
      <left style="thick">
        <color indexed="64"/>
      </left>
      <right style="thin">
        <color theme="2"/>
      </right>
      <top style="thin">
        <color theme="2"/>
      </top>
      <bottom style="thin">
        <color theme="2"/>
      </bottom>
      <diagonal/>
    </border>
    <border>
      <left style="thin">
        <color theme="2"/>
      </left>
      <right style="thick">
        <color indexed="64"/>
      </right>
      <top style="thin">
        <color theme="2"/>
      </top>
      <bottom style="thin">
        <color theme="2"/>
      </bottom>
      <diagonal/>
    </border>
    <border>
      <left style="thick">
        <color indexed="64"/>
      </left>
      <right style="thin">
        <color theme="2"/>
      </right>
      <top style="thin">
        <color theme="2"/>
      </top>
      <bottom style="thick">
        <color indexed="64"/>
      </bottom>
      <diagonal/>
    </border>
    <border>
      <left style="thin">
        <color theme="2"/>
      </left>
      <right style="thick">
        <color indexed="64"/>
      </right>
      <top style="thin">
        <color theme="2"/>
      </top>
      <bottom style="thick">
        <color indexed="64"/>
      </bottom>
      <diagonal/>
    </border>
    <border>
      <left style="thin">
        <color theme="2"/>
      </left>
      <right style="thin">
        <color theme="2"/>
      </right>
      <top style="thick">
        <color indexed="64"/>
      </top>
      <bottom style="thin">
        <color theme="2"/>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style="thick">
        <color indexed="64"/>
      </bottom>
      <diagonal/>
    </border>
    <border>
      <left style="thin">
        <color theme="2"/>
      </left>
      <right style="thin">
        <color theme="2"/>
      </right>
      <top style="thin">
        <color theme="2"/>
      </top>
      <bottom style="medium">
        <color indexed="64"/>
      </bottom>
      <diagonal/>
    </border>
    <border>
      <left style="thin">
        <color theme="2"/>
      </left>
      <right style="thin">
        <color theme="2"/>
      </right>
      <top/>
      <bottom style="thin">
        <color theme="2"/>
      </bottom>
      <diagonal/>
    </border>
    <border>
      <left style="medium">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2"/>
      </left>
      <right/>
      <top/>
      <bottom style="thin">
        <color theme="2"/>
      </bottom>
      <diagonal/>
    </border>
    <border>
      <left style="thin">
        <color theme="2"/>
      </left>
      <right/>
      <top style="thin">
        <color theme="2"/>
      </top>
      <bottom style="medium">
        <color indexed="64"/>
      </bottom>
      <diagonal/>
    </border>
    <border>
      <left style="medium">
        <color indexed="64"/>
      </left>
      <right style="medium">
        <color indexed="64"/>
      </right>
      <top/>
      <bottom style="thin">
        <color theme="2"/>
      </bottom>
      <diagonal/>
    </border>
    <border>
      <left style="medium">
        <color indexed="64"/>
      </left>
      <right style="medium">
        <color indexed="64"/>
      </right>
      <top style="thin">
        <color theme="2"/>
      </top>
      <bottom style="thin">
        <color theme="2"/>
      </bottom>
      <diagonal/>
    </border>
    <border>
      <left style="medium">
        <color indexed="64"/>
      </left>
      <right style="medium">
        <color indexed="64"/>
      </right>
      <top style="thin">
        <color theme="2"/>
      </top>
      <bottom style="medium">
        <color indexed="64"/>
      </bottom>
      <diagonal/>
    </border>
    <border>
      <left style="thin">
        <color theme="2"/>
      </left>
      <right style="thin">
        <color theme="2"/>
      </right>
      <top style="double">
        <color indexed="64"/>
      </top>
      <bottom style="medium">
        <color indexed="64"/>
      </bottom>
      <diagonal/>
    </border>
    <border>
      <left style="thin">
        <color theme="2"/>
      </left>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thin">
        <color indexed="64"/>
      </right>
      <top/>
      <bottom/>
      <diagonal/>
    </border>
    <border>
      <left/>
      <right/>
      <top/>
      <bottom style="medium">
        <color indexed="64"/>
      </bottom>
      <diagonal/>
    </border>
  </borders>
  <cellStyleXfs count="3">
    <xf numFmtId="0" fontId="0" fillId="0" borderId="0"/>
    <xf numFmtId="0" fontId="17" fillId="0" borderId="0" applyNumberFormat="0" applyFill="0" applyBorder="0" applyAlignment="0" applyProtection="0"/>
    <xf numFmtId="9" fontId="32" fillId="0" borderId="0" applyFont="0" applyFill="0" applyBorder="0" applyAlignment="0" applyProtection="0"/>
  </cellStyleXfs>
  <cellXfs count="261">
    <xf numFmtId="0" fontId="0" fillId="0" borderId="0" xfId="0"/>
    <xf numFmtId="0" fontId="0" fillId="0" borderId="0" xfId="0" applyAlignment="1">
      <alignment horizontal="center"/>
    </xf>
    <xf numFmtId="0" fontId="4" fillId="0" borderId="0" xfId="0" applyFont="1"/>
    <xf numFmtId="0" fontId="5" fillId="2" borderId="0" xfId="0" applyFont="1" applyFill="1" applyAlignment="1">
      <alignment horizontal="center" vertical="center" wrapText="1"/>
    </xf>
    <xf numFmtId="0" fontId="5" fillId="0" borderId="1" xfId="0" applyFont="1" applyBorder="1"/>
    <xf numFmtId="0" fontId="4" fillId="0" borderId="2" xfId="0" applyFont="1" applyBorder="1"/>
    <xf numFmtId="0" fontId="4" fillId="0" borderId="3" xfId="0" applyFont="1" applyBorder="1"/>
    <xf numFmtId="0" fontId="5" fillId="0" borderId="4" xfId="0" applyFont="1" applyBorder="1"/>
    <xf numFmtId="0" fontId="4" fillId="0" borderId="5" xfId="0" applyFont="1" applyBorder="1"/>
    <xf numFmtId="0" fontId="4" fillId="0" borderId="4" xfId="0" applyFont="1" applyBorder="1"/>
    <xf numFmtId="0" fontId="5" fillId="0" borderId="0" xfId="0" applyFont="1" applyAlignment="1">
      <alignment vertical="center" wrapText="1"/>
    </xf>
    <xf numFmtId="0" fontId="0" fillId="0" borderId="0" xfId="0" applyAlignment="1">
      <alignment horizontal="left" vertical="center"/>
    </xf>
    <xf numFmtId="2" fontId="3" fillId="0" borderId="6" xfId="0" applyNumberFormat="1" applyFont="1" applyBorder="1" applyAlignment="1">
      <alignment horizontal="center" vertical="center" wrapText="1"/>
    </xf>
    <xf numFmtId="0" fontId="11" fillId="0" borderId="0" xfId="0" applyFont="1"/>
    <xf numFmtId="0" fontId="12" fillId="0" borderId="5" xfId="0" applyFont="1" applyBorder="1" applyAlignment="1">
      <alignment horizontal="center" vertical="center" textRotation="90"/>
    </xf>
    <xf numFmtId="0" fontId="18" fillId="0" borderId="0" xfId="0" applyFont="1"/>
    <xf numFmtId="0" fontId="19" fillId="0" borderId="0" xfId="0" applyFont="1" applyAlignment="1">
      <alignment horizontal="center"/>
    </xf>
    <xf numFmtId="0" fontId="19" fillId="0" borderId="0" xfId="0" applyFont="1"/>
    <xf numFmtId="0" fontId="20" fillId="0" borderId="0" xfId="0" applyFont="1"/>
    <xf numFmtId="0" fontId="19" fillId="0" borderId="5" xfId="0" applyFont="1" applyBorder="1"/>
    <xf numFmtId="0" fontId="4" fillId="0" borderId="0" xfId="0" applyFont="1" applyAlignment="1">
      <alignment horizontal="left" vertical="center" wrapText="1"/>
    </xf>
    <xf numFmtId="166" fontId="4" fillId="0" borderId="8" xfId="0" applyNumberFormat="1" applyFont="1" applyBorder="1" applyAlignment="1">
      <alignment horizontal="center" vertical="center"/>
    </xf>
    <xf numFmtId="0" fontId="21" fillId="0" borderId="0" xfId="0" applyFont="1" applyAlignment="1">
      <alignment horizontal="center" vertical="center" wrapText="1"/>
    </xf>
    <xf numFmtId="0" fontId="21" fillId="0" borderId="0" xfId="0" applyFont="1" applyAlignment="1">
      <alignment vertical="center" wrapText="1"/>
    </xf>
    <xf numFmtId="0" fontId="21" fillId="0" borderId="0" xfId="0" applyFont="1" applyAlignment="1">
      <alignment vertical="center"/>
    </xf>
    <xf numFmtId="0" fontId="21" fillId="0" borderId="13" xfId="0" applyFont="1" applyBorder="1" applyAlignment="1">
      <alignment vertical="center" wrapText="1"/>
    </xf>
    <xf numFmtId="164" fontId="21" fillId="0" borderId="8" xfId="0" applyNumberFormat="1" applyFont="1" applyBorder="1" applyAlignment="1">
      <alignment horizontal="center" vertical="center"/>
    </xf>
    <xf numFmtId="167" fontId="21" fillId="0" borderId="8" xfId="0" applyNumberFormat="1" applyFont="1" applyBorder="1" applyAlignment="1">
      <alignment horizontal="center" vertical="center"/>
    </xf>
    <xf numFmtId="166" fontId="21" fillId="0" borderId="11" xfId="0" applyNumberFormat="1" applyFont="1" applyBorder="1" applyAlignment="1">
      <alignment horizontal="center" vertical="center"/>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2" xfId="0" applyFont="1" applyBorder="1" applyAlignment="1">
      <alignment vertical="center" wrapText="1"/>
    </xf>
    <xf numFmtId="164" fontId="21" fillId="0" borderId="9" xfId="0" applyNumberFormat="1" applyFont="1" applyBorder="1" applyAlignment="1">
      <alignment horizontal="center" vertical="center"/>
    </xf>
    <xf numFmtId="0" fontId="21" fillId="0" borderId="9" xfId="0" applyFont="1" applyBorder="1" applyAlignment="1">
      <alignment horizontal="center" vertical="center"/>
    </xf>
    <xf numFmtId="0" fontId="21" fillId="0" borderId="6" xfId="0" applyFont="1" applyBorder="1" applyAlignment="1">
      <alignment horizontal="center" vertical="center"/>
    </xf>
    <xf numFmtId="0" fontId="21" fillId="0" borderId="16" xfId="0" applyFont="1" applyBorder="1" applyAlignment="1">
      <alignment vertical="center" wrapText="1"/>
    </xf>
    <xf numFmtId="164" fontId="21" fillId="0" borderId="17" xfId="0" applyNumberFormat="1" applyFont="1" applyBorder="1" applyAlignment="1">
      <alignment horizontal="center" vertical="center"/>
    </xf>
    <xf numFmtId="0" fontId="21" fillId="0" borderId="17" xfId="0" applyFont="1" applyBorder="1" applyAlignment="1">
      <alignment horizontal="center" vertical="center"/>
    </xf>
    <xf numFmtId="166" fontId="21" fillId="0" borderId="18" xfId="0" applyNumberFormat="1" applyFont="1" applyBorder="1" applyAlignment="1">
      <alignment horizontal="center" vertical="center"/>
    </xf>
    <xf numFmtId="0" fontId="21" fillId="0" borderId="19" xfId="0" applyFont="1" applyBorder="1" applyAlignment="1">
      <alignment horizontal="center" wrapText="1"/>
    </xf>
    <xf numFmtId="14" fontId="21" fillId="0" borderId="0" xfId="0" applyNumberFormat="1" applyFont="1" applyAlignment="1">
      <alignment vertical="center"/>
    </xf>
    <xf numFmtId="0" fontId="21" fillId="3" borderId="16"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18" xfId="0" applyFont="1" applyFill="1" applyBorder="1" applyAlignment="1">
      <alignment horizontal="center" vertical="center" wrapText="1"/>
    </xf>
    <xf numFmtId="0" fontId="21" fillId="0" borderId="0" xfId="0" applyFont="1" applyAlignment="1">
      <alignment horizontal="left" vertical="center" wrapText="1"/>
    </xf>
    <xf numFmtId="0" fontId="12" fillId="0" borderId="0" xfId="0" applyFont="1"/>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15" fillId="0" borderId="0" xfId="0" applyFont="1" applyAlignment="1">
      <alignment vertical="center"/>
    </xf>
    <xf numFmtId="0" fontId="19" fillId="2" borderId="5" xfId="0" applyFont="1" applyFill="1" applyBorder="1" applyAlignment="1">
      <alignment horizontal="left" vertical="center" wrapText="1"/>
    </xf>
    <xf numFmtId="0" fontId="19" fillId="4" borderId="5" xfId="0" applyFont="1" applyFill="1" applyBorder="1" applyAlignment="1">
      <alignment horizontal="left" vertical="center" wrapText="1"/>
    </xf>
    <xf numFmtId="0" fontId="7" fillId="0" borderId="0" xfId="0" applyFont="1" applyAlignment="1">
      <alignment vertical="center" wrapText="1"/>
    </xf>
    <xf numFmtId="2" fontId="18" fillId="0" borderId="24" xfId="0" applyNumberFormat="1" applyFont="1" applyBorder="1" applyAlignment="1">
      <alignment horizontal="center"/>
    </xf>
    <xf numFmtId="2" fontId="18" fillId="0" borderId="25" xfId="0" applyNumberFormat="1" applyFont="1" applyBorder="1" applyAlignment="1">
      <alignment horizontal="center"/>
    </xf>
    <xf numFmtId="0" fontId="2" fillId="0" borderId="0" xfId="0" applyFont="1" applyAlignment="1">
      <alignment horizontal="left" vertical="center"/>
    </xf>
    <xf numFmtId="167" fontId="0" fillId="0" borderId="0" xfId="0" applyNumberFormat="1"/>
    <xf numFmtId="10" fontId="0" fillId="0" borderId="0" xfId="0" applyNumberFormat="1"/>
    <xf numFmtId="168" fontId="21" fillId="0" borderId="8" xfId="0" applyNumberFormat="1" applyFont="1" applyBorder="1" applyAlignment="1">
      <alignment horizontal="center" vertical="center"/>
    </xf>
    <xf numFmtId="2" fontId="4" fillId="0" borderId="10" xfId="0" applyNumberFormat="1" applyFont="1" applyBorder="1" applyAlignment="1">
      <alignment horizontal="center" vertical="center" wrapText="1"/>
    </xf>
    <xf numFmtId="2" fontId="4" fillId="0" borderId="11" xfId="0" applyNumberFormat="1" applyFont="1" applyBorder="1" applyAlignment="1">
      <alignment horizontal="center" vertical="center" wrapText="1"/>
    </xf>
    <xf numFmtId="2" fontId="4" fillId="0" borderId="6" xfId="0" applyNumberFormat="1" applyFont="1" applyBorder="1" applyAlignment="1">
      <alignment horizontal="center" vertical="center" wrapText="1"/>
    </xf>
    <xf numFmtId="2" fontId="4" fillId="0" borderId="30" xfId="0" applyNumberFormat="1" applyFont="1" applyBorder="1" applyAlignment="1">
      <alignment horizontal="center" vertical="center"/>
    </xf>
    <xf numFmtId="2" fontId="4" fillId="0" borderId="13" xfId="0" applyNumberFormat="1" applyFont="1" applyBorder="1" applyAlignment="1">
      <alignment horizontal="center" vertical="center"/>
    </xf>
    <xf numFmtId="2" fontId="4" fillId="0" borderId="31" xfId="0" applyNumberFormat="1" applyFont="1" applyBorder="1" applyAlignment="1">
      <alignment horizontal="center" vertical="center"/>
    </xf>
    <xf numFmtId="0" fontId="19" fillId="4" borderId="21" xfId="0" applyFont="1" applyFill="1" applyBorder="1" applyAlignment="1">
      <alignment horizontal="left" vertical="center" wrapText="1"/>
    </xf>
    <xf numFmtId="0" fontId="13" fillId="0" borderId="0" xfId="0" applyFont="1" applyAlignment="1">
      <alignment horizontal="center" vertical="center" wrapText="1"/>
    </xf>
    <xf numFmtId="15" fontId="17" fillId="0" borderId="0" xfId="1" applyNumberFormat="1" applyFill="1" applyBorder="1" applyAlignment="1">
      <alignment vertical="center" wrapText="1"/>
    </xf>
    <xf numFmtId="0" fontId="14" fillId="0" borderId="14" xfId="0" applyFont="1" applyBorder="1" applyAlignment="1">
      <alignment horizontal="center" vertical="center" wrapText="1"/>
    </xf>
    <xf numFmtId="0" fontId="2" fillId="0" borderId="0" xfId="0" applyFont="1" applyAlignment="1">
      <alignment vertical="center" wrapText="1"/>
    </xf>
    <xf numFmtId="0" fontId="17" fillId="0" borderId="0" xfId="1" applyNumberFormat="1" applyFill="1" applyBorder="1" applyAlignment="1">
      <alignment vertical="center" wrapText="1"/>
    </xf>
    <xf numFmtId="49" fontId="2" fillId="4" borderId="32" xfId="0" applyNumberFormat="1" applyFont="1" applyFill="1" applyBorder="1" applyAlignment="1">
      <alignment horizontal="center" vertical="center" wrapText="1"/>
    </xf>
    <xf numFmtId="49" fontId="2" fillId="4" borderId="33" xfId="0" applyNumberFormat="1" applyFont="1" applyFill="1" applyBorder="1" applyAlignment="1">
      <alignment horizontal="center" vertical="center" wrapText="1"/>
    </xf>
    <xf numFmtId="49" fontId="2" fillId="4" borderId="34" xfId="0" applyNumberFormat="1" applyFont="1" applyFill="1" applyBorder="1" applyAlignment="1">
      <alignment horizontal="center" vertical="center" wrapText="1"/>
    </xf>
    <xf numFmtId="49" fontId="2" fillId="4" borderId="35" xfId="0" applyNumberFormat="1" applyFont="1" applyFill="1" applyBorder="1" applyAlignment="1">
      <alignment horizontal="center" vertical="center" wrapText="1"/>
    </xf>
    <xf numFmtId="49" fontId="2" fillId="4" borderId="36" xfId="0" applyNumberFormat="1" applyFont="1" applyFill="1" applyBorder="1" applyAlignment="1">
      <alignment horizontal="center" vertical="center" wrapText="1"/>
    </xf>
    <xf numFmtId="49" fontId="2" fillId="5" borderId="33" xfId="0" applyNumberFormat="1" applyFont="1" applyFill="1" applyBorder="1" applyAlignment="1">
      <alignment horizontal="center" vertical="center" wrapText="1"/>
    </xf>
    <xf numFmtId="49" fontId="2" fillId="0" borderId="33" xfId="0" applyNumberFormat="1" applyFont="1" applyBorder="1" applyAlignment="1">
      <alignment horizontal="center" vertical="center" wrapText="1"/>
    </xf>
    <xf numFmtId="0" fontId="17" fillId="0" borderId="0" xfId="1"/>
    <xf numFmtId="0" fontId="21" fillId="6" borderId="37" xfId="0" applyFont="1" applyFill="1" applyBorder="1" applyAlignment="1">
      <alignment horizontal="center" vertical="center" wrapText="1"/>
    </xf>
    <xf numFmtId="0" fontId="21" fillId="0" borderId="0" xfId="0" applyFont="1" applyAlignment="1">
      <alignment horizontal="center" vertical="center"/>
    </xf>
    <xf numFmtId="164" fontId="21" fillId="6" borderId="28" xfId="0" applyNumberFormat="1" applyFont="1" applyFill="1" applyBorder="1" applyAlignment="1">
      <alignment horizontal="center" vertical="center"/>
    </xf>
    <xf numFmtId="169" fontId="21" fillId="0" borderId="17" xfId="0" applyNumberFormat="1" applyFont="1" applyBorder="1" applyAlignment="1">
      <alignment horizontal="center" vertical="center"/>
    </xf>
    <xf numFmtId="0" fontId="21" fillId="0" borderId="38" xfId="0" applyFont="1" applyBorder="1" applyAlignment="1">
      <alignment vertical="center"/>
    </xf>
    <xf numFmtId="0" fontId="21" fillId="0" borderId="39" xfId="0" applyFont="1" applyBorder="1" applyAlignment="1">
      <alignment horizontal="center" vertical="center"/>
    </xf>
    <xf numFmtId="0" fontId="21" fillId="0" borderId="40" xfId="0" applyFont="1" applyBorder="1" applyAlignment="1">
      <alignment horizontal="center" vertical="center"/>
    </xf>
    <xf numFmtId="164" fontId="21" fillId="0" borderId="0" xfId="0" applyNumberFormat="1" applyFont="1" applyAlignment="1">
      <alignment vertical="center"/>
    </xf>
    <xf numFmtId="164" fontId="21" fillId="0" borderId="0" xfId="0" applyNumberFormat="1" applyFont="1" applyAlignment="1">
      <alignment horizontal="center" vertical="center"/>
    </xf>
    <xf numFmtId="169" fontId="21" fillId="0" borderId="0" xfId="0" applyNumberFormat="1" applyFont="1" applyAlignment="1">
      <alignment horizontal="center" vertical="center"/>
    </xf>
    <xf numFmtId="166" fontId="21" fillId="0" borderId="0" xfId="0" applyNumberFormat="1" applyFont="1" applyAlignment="1">
      <alignment horizontal="center" vertical="center"/>
    </xf>
    <xf numFmtId="0" fontId="24" fillId="0" borderId="0" xfId="0" applyFont="1" applyAlignment="1">
      <alignment vertical="center" wrapText="1"/>
    </xf>
    <xf numFmtId="0" fontId="9" fillId="0" borderId="0" xfId="0" applyFont="1" applyAlignment="1">
      <alignment vertical="center"/>
    </xf>
    <xf numFmtId="0" fontId="16" fillId="0" borderId="0" xfId="0" applyFont="1" applyAlignment="1">
      <alignment horizontal="right" vertical="center"/>
    </xf>
    <xf numFmtId="0" fontId="25" fillId="7" borderId="37" xfId="0" applyFont="1" applyFill="1" applyBorder="1" applyAlignment="1">
      <alignment horizontal="center" vertical="center" wrapText="1"/>
    </xf>
    <xf numFmtId="0" fontId="25" fillId="8" borderId="0" xfId="0" applyFont="1" applyFill="1" applyAlignment="1">
      <alignment horizontal="center" vertical="center" wrapText="1"/>
    </xf>
    <xf numFmtId="0" fontId="21" fillId="9" borderId="28" xfId="0" applyFont="1" applyFill="1" applyBorder="1" applyAlignment="1">
      <alignment horizontal="center" vertical="center" wrapText="1"/>
    </xf>
    <xf numFmtId="0" fontId="8" fillId="10" borderId="7" xfId="0" applyFont="1" applyFill="1" applyBorder="1" applyAlignment="1">
      <alignment horizontal="center" vertical="center"/>
    </xf>
    <xf numFmtId="170" fontId="21" fillId="0" borderId="8" xfId="0" applyNumberFormat="1" applyFont="1" applyBorder="1" applyAlignment="1">
      <alignment horizontal="center" vertical="center"/>
    </xf>
    <xf numFmtId="164" fontId="21" fillId="11" borderId="0" xfId="0" applyNumberFormat="1" applyFont="1" applyFill="1" applyAlignment="1">
      <alignment horizontal="center" vertical="center"/>
    </xf>
    <xf numFmtId="171" fontId="9" fillId="0" borderId="0" xfId="0" applyNumberFormat="1" applyFont="1" applyAlignment="1">
      <alignment horizontal="center" vertical="center"/>
    </xf>
    <xf numFmtId="171" fontId="21" fillId="0" borderId="0" xfId="0" applyNumberFormat="1" applyFont="1" applyAlignment="1">
      <alignment horizontal="center" vertical="center" wrapText="1"/>
    </xf>
    <xf numFmtId="171" fontId="21" fillId="0" borderId="0" xfId="0" applyNumberFormat="1" applyFont="1" applyAlignment="1">
      <alignment vertical="center"/>
    </xf>
    <xf numFmtId="171" fontId="21" fillId="12" borderId="0" xfId="0" applyNumberFormat="1" applyFont="1" applyFill="1" applyAlignment="1">
      <alignment horizontal="center" vertical="center" wrapText="1"/>
    </xf>
    <xf numFmtId="0" fontId="21" fillId="12" borderId="0" xfId="0" applyFont="1" applyFill="1" applyAlignment="1">
      <alignment horizontal="center" vertical="center" wrapText="1"/>
    </xf>
    <xf numFmtId="164" fontId="21" fillId="13" borderId="8" xfId="0" applyNumberFormat="1" applyFont="1" applyFill="1" applyBorder="1" applyAlignment="1">
      <alignment horizontal="center" vertical="center"/>
    </xf>
    <xf numFmtId="164" fontId="21" fillId="13" borderId="17" xfId="0" applyNumberFormat="1" applyFont="1" applyFill="1" applyBorder="1" applyAlignment="1">
      <alignment horizontal="center" vertical="center"/>
    </xf>
    <xf numFmtId="169" fontId="21" fillId="13" borderId="17" xfId="0" applyNumberFormat="1" applyFont="1" applyFill="1" applyBorder="1" applyAlignment="1">
      <alignment horizontal="center" vertical="center"/>
    </xf>
    <xf numFmtId="172" fontId="21" fillId="0" borderId="0" xfId="0" applyNumberFormat="1" applyFont="1" applyAlignment="1">
      <alignment vertical="center"/>
    </xf>
    <xf numFmtId="2" fontId="21" fillId="6" borderId="28" xfId="0" applyNumberFormat="1" applyFont="1" applyFill="1" applyBorder="1" applyAlignment="1">
      <alignment horizontal="center" vertical="center"/>
    </xf>
    <xf numFmtId="2" fontId="21" fillId="0" borderId="0" xfId="0" applyNumberFormat="1" applyFont="1" applyAlignment="1">
      <alignment horizontal="center" vertical="center"/>
    </xf>
    <xf numFmtId="0" fontId="0" fillId="0" borderId="0" xfId="0" applyAlignment="1">
      <alignment vertical="center" wrapText="1"/>
    </xf>
    <xf numFmtId="2" fontId="26" fillId="0" borderId="26" xfId="0" quotePrefix="1" applyNumberFormat="1" applyFont="1" applyBorder="1" applyAlignment="1">
      <alignment horizontal="center" vertical="center" wrapText="1"/>
    </xf>
    <xf numFmtId="0" fontId="21" fillId="14" borderId="37" xfId="0" applyFont="1" applyFill="1" applyBorder="1" applyAlignment="1">
      <alignment horizontal="center" vertical="center" wrapText="1"/>
    </xf>
    <xf numFmtId="164" fontId="21" fillId="14" borderId="28" xfId="0" applyNumberFormat="1" applyFont="1" applyFill="1" applyBorder="1" applyAlignment="1">
      <alignment horizontal="center" vertical="center"/>
    </xf>
    <xf numFmtId="2" fontId="21" fillId="14" borderId="28" xfId="0" applyNumberFormat="1" applyFont="1" applyFill="1" applyBorder="1" applyAlignment="1">
      <alignment horizontal="center" vertical="center"/>
    </xf>
    <xf numFmtId="0" fontId="19" fillId="0" borderId="23" xfId="0" applyFont="1" applyBorder="1"/>
    <xf numFmtId="2" fontId="31" fillId="0" borderId="9" xfId="0" applyNumberFormat="1" applyFont="1" applyBorder="1" applyAlignment="1">
      <alignment horizontal="center" vertical="center" wrapText="1"/>
    </xf>
    <xf numFmtId="0" fontId="30" fillId="6" borderId="42" xfId="0" applyFont="1" applyFill="1" applyBorder="1" applyAlignment="1">
      <alignment vertical="center"/>
    </xf>
    <xf numFmtId="165" fontId="8" fillId="10" borderId="50" xfId="0" applyNumberFormat="1" applyFont="1" applyFill="1" applyBorder="1" applyAlignment="1">
      <alignment horizontal="center" vertical="center"/>
    </xf>
    <xf numFmtId="165" fontId="8" fillId="6" borderId="42" xfId="0" applyNumberFormat="1" applyFont="1" applyFill="1" applyBorder="1" applyAlignment="1">
      <alignment horizontal="center" vertical="center"/>
    </xf>
    <xf numFmtId="0" fontId="13" fillId="0" borderId="52" xfId="0" applyFont="1" applyBorder="1" applyAlignment="1">
      <alignment horizontal="right" vertical="center" wrapText="1"/>
    </xf>
    <xf numFmtId="0" fontId="27" fillId="0" borderId="53" xfId="0" applyFont="1" applyBorder="1" applyAlignment="1">
      <alignment horizontal="center" vertical="center" wrapText="1"/>
    </xf>
    <xf numFmtId="4" fontId="10" fillId="0" borderId="57" xfId="0" applyNumberFormat="1" applyFont="1" applyBorder="1" applyAlignment="1">
      <alignment horizontal="center" vertical="center" wrapText="1"/>
    </xf>
    <xf numFmtId="2" fontId="5" fillId="0" borderId="58" xfId="0" applyNumberFormat="1" applyFont="1" applyBorder="1" applyAlignment="1">
      <alignment horizontal="center" vertical="center" wrapText="1"/>
    </xf>
    <xf numFmtId="0" fontId="6" fillId="0" borderId="59" xfId="0" applyFont="1" applyBorder="1" applyAlignment="1">
      <alignment horizontal="left" vertical="center" wrapText="1"/>
    </xf>
    <xf numFmtId="167" fontId="4" fillId="0" borderId="60" xfId="0" applyNumberFormat="1" applyFont="1" applyBorder="1" applyAlignment="1">
      <alignment horizontal="center" vertical="center"/>
    </xf>
    <xf numFmtId="0" fontId="6" fillId="0" borderId="61" xfId="0" applyFont="1" applyBorder="1" applyAlignment="1">
      <alignment horizontal="left" vertical="center" wrapText="1"/>
    </xf>
    <xf numFmtId="167" fontId="4" fillId="0" borderId="62" xfId="0" applyNumberFormat="1" applyFont="1" applyBorder="1" applyAlignment="1">
      <alignment horizontal="center" vertical="center"/>
    </xf>
    <xf numFmtId="0" fontId="6" fillId="0" borderId="57" xfId="0" applyFont="1" applyBorder="1" applyAlignment="1">
      <alignment horizontal="left" vertical="center" wrapText="1"/>
    </xf>
    <xf numFmtId="167" fontId="4" fillId="0" borderId="63" xfId="0" applyNumberFormat="1" applyFont="1" applyBorder="1" applyAlignment="1">
      <alignment horizontal="center" vertical="center"/>
    </xf>
    <xf numFmtId="0" fontId="19" fillId="0" borderId="71" xfId="0" applyFont="1" applyBorder="1"/>
    <xf numFmtId="2" fontId="3" fillId="0" borderId="46" xfId="0" applyNumberFormat="1" applyFont="1" applyBorder="1" applyAlignment="1">
      <alignment horizontal="center" vertical="center" wrapText="1"/>
    </xf>
    <xf numFmtId="2" fontId="4" fillId="0" borderId="47" xfId="0" applyNumberFormat="1" applyFont="1" applyBorder="1" applyAlignment="1">
      <alignment horizontal="center" vertical="center" wrapText="1"/>
    </xf>
    <xf numFmtId="2" fontId="4" fillId="0" borderId="48" xfId="0" applyNumberFormat="1" applyFont="1" applyBorder="1" applyAlignment="1">
      <alignment horizontal="center" vertical="center" wrapText="1"/>
    </xf>
    <xf numFmtId="2" fontId="4" fillId="0" borderId="46" xfId="0" applyNumberFormat="1" applyFont="1" applyBorder="1" applyAlignment="1">
      <alignment horizontal="center" vertical="center" wrapText="1"/>
    </xf>
    <xf numFmtId="0" fontId="30" fillId="10" borderId="50" xfId="0" applyFont="1" applyFill="1" applyBorder="1" applyAlignment="1">
      <alignment vertical="center"/>
    </xf>
    <xf numFmtId="2" fontId="3" fillId="0" borderId="72" xfId="0" applyNumberFormat="1" applyFont="1" applyBorder="1" applyAlignment="1">
      <alignment horizontal="center" vertical="center" wrapText="1"/>
    </xf>
    <xf numFmtId="2" fontId="4" fillId="0" borderId="27" xfId="0" applyNumberFormat="1" applyFont="1" applyBorder="1" applyAlignment="1">
      <alignment horizontal="center" vertical="center" wrapText="1"/>
    </xf>
    <xf numFmtId="2" fontId="4" fillId="0" borderId="28" xfId="0" applyNumberFormat="1" applyFont="1" applyBorder="1" applyAlignment="1">
      <alignment horizontal="center" vertical="center" wrapText="1"/>
    </xf>
    <xf numFmtId="2" fontId="4" fillId="0" borderId="72" xfId="0" applyNumberFormat="1" applyFont="1" applyBorder="1" applyAlignment="1">
      <alignment horizontal="center" vertical="center" wrapText="1"/>
    </xf>
    <xf numFmtId="2" fontId="4" fillId="0" borderId="29" xfId="0" applyNumberFormat="1" applyFont="1" applyBorder="1" applyAlignment="1">
      <alignment horizontal="center" vertical="center" wrapText="1"/>
    </xf>
    <xf numFmtId="2" fontId="26" fillId="0" borderId="73" xfId="0" quotePrefix="1" applyNumberFormat="1" applyFont="1" applyBorder="1" applyAlignment="1">
      <alignment horizontal="center" vertical="center" wrapText="1"/>
    </xf>
    <xf numFmtId="2" fontId="4" fillId="0" borderId="47" xfId="0" applyNumberFormat="1" applyFont="1" applyBorder="1" applyAlignment="1">
      <alignment horizontal="center" vertical="center"/>
    </xf>
    <xf numFmtId="2" fontId="4" fillId="0" borderId="48" xfId="0" applyNumberFormat="1" applyFont="1" applyBorder="1" applyAlignment="1">
      <alignment horizontal="center" vertical="center"/>
    </xf>
    <xf numFmtId="2" fontId="4" fillId="0" borderId="49" xfId="0" applyNumberFormat="1" applyFont="1" applyBorder="1" applyAlignment="1">
      <alignment horizontal="center" vertical="center"/>
    </xf>
    <xf numFmtId="0" fontId="23" fillId="0" borderId="20" xfId="0" applyFont="1" applyBorder="1" applyAlignment="1">
      <alignment horizontal="center" vertical="center" textRotation="90"/>
    </xf>
    <xf numFmtId="166" fontId="4" fillId="0" borderId="14" xfId="0" applyNumberFormat="1" applyFont="1" applyBorder="1" applyAlignment="1">
      <alignment horizontal="center" vertical="center"/>
    </xf>
    <xf numFmtId="166" fontId="4" fillId="0" borderId="74" xfId="0" applyNumberFormat="1" applyFont="1" applyBorder="1" applyAlignment="1">
      <alignment horizontal="center" vertical="center"/>
    </xf>
    <xf numFmtId="0" fontId="23" fillId="0" borderId="81" xfId="0" applyFont="1" applyBorder="1" applyAlignment="1">
      <alignment horizontal="center" vertical="center" textRotation="90"/>
    </xf>
    <xf numFmtId="2" fontId="19" fillId="2" borderId="82" xfId="0" applyNumberFormat="1" applyFont="1" applyFill="1" applyBorder="1" applyAlignment="1">
      <alignment horizontal="center"/>
    </xf>
    <xf numFmtId="2" fontId="19" fillId="2" borderId="83" xfId="0" applyNumberFormat="1" applyFont="1" applyFill="1" applyBorder="1" applyAlignment="1">
      <alignment horizontal="center"/>
    </xf>
    <xf numFmtId="2" fontId="19" fillId="2" borderId="84" xfId="0" applyNumberFormat="1" applyFont="1" applyFill="1" applyBorder="1" applyAlignment="1">
      <alignment horizontal="center"/>
    </xf>
    <xf numFmtId="2" fontId="19" fillId="2" borderId="85" xfId="0" applyNumberFormat="1" applyFont="1" applyFill="1" applyBorder="1" applyAlignment="1">
      <alignment horizontal="center"/>
    </xf>
    <xf numFmtId="2" fontId="19" fillId="0" borderId="84" xfId="0" applyNumberFormat="1" applyFont="1" applyBorder="1" applyAlignment="1">
      <alignment horizontal="center"/>
    </xf>
    <xf numFmtId="2" fontId="19" fillId="0" borderId="85" xfId="0" applyNumberFormat="1" applyFont="1" applyBorder="1" applyAlignment="1">
      <alignment horizontal="center"/>
    </xf>
    <xf numFmtId="2" fontId="19" fillId="0" borderId="86" xfId="0" applyNumberFormat="1" applyFont="1" applyBorder="1" applyAlignment="1">
      <alignment horizontal="center"/>
    </xf>
    <xf numFmtId="165" fontId="19" fillId="4" borderId="82" xfId="0" applyNumberFormat="1" applyFont="1" applyFill="1" applyBorder="1" applyAlignment="1">
      <alignment horizontal="center" vertical="center"/>
    </xf>
    <xf numFmtId="165" fontId="19" fillId="4" borderId="88" xfId="0" applyNumberFormat="1" applyFont="1" applyFill="1" applyBorder="1" applyAlignment="1">
      <alignment horizontal="center" vertical="center"/>
    </xf>
    <xf numFmtId="165" fontId="19" fillId="4" borderId="83" xfId="0" applyNumberFormat="1" applyFont="1" applyFill="1" applyBorder="1" applyAlignment="1">
      <alignment horizontal="center" vertical="center"/>
    </xf>
    <xf numFmtId="165" fontId="19" fillId="2" borderId="84" xfId="0" applyNumberFormat="1" applyFont="1" applyFill="1" applyBorder="1" applyAlignment="1">
      <alignment horizontal="center"/>
    </xf>
    <xf numFmtId="165" fontId="19" fillId="2" borderId="89" xfId="0" applyNumberFormat="1" applyFont="1" applyFill="1" applyBorder="1" applyAlignment="1">
      <alignment horizontal="center"/>
    </xf>
    <xf numFmtId="165" fontId="19" fillId="2" borderId="85" xfId="0" applyNumberFormat="1" applyFont="1" applyFill="1" applyBorder="1" applyAlignment="1">
      <alignment horizontal="center"/>
    </xf>
    <xf numFmtId="165" fontId="19" fillId="4" borderId="84" xfId="0" applyNumberFormat="1" applyFont="1" applyFill="1" applyBorder="1" applyAlignment="1">
      <alignment horizontal="center" vertical="center"/>
    </xf>
    <xf numFmtId="165" fontId="19" fillId="4" borderId="89" xfId="0" applyNumberFormat="1" applyFont="1" applyFill="1" applyBorder="1" applyAlignment="1">
      <alignment horizontal="center" vertical="center"/>
    </xf>
    <xf numFmtId="165" fontId="19" fillId="4" borderId="85" xfId="0" applyNumberFormat="1" applyFont="1" applyFill="1" applyBorder="1" applyAlignment="1">
      <alignment horizontal="center" vertical="center"/>
    </xf>
    <xf numFmtId="165" fontId="19" fillId="4" borderId="89" xfId="0" applyNumberFormat="1" applyFont="1" applyFill="1" applyBorder="1" applyAlignment="1">
      <alignment horizontal="center" vertical="center" wrapText="1"/>
    </xf>
    <xf numFmtId="165" fontId="19" fillId="0" borderId="84" xfId="0" applyNumberFormat="1" applyFont="1" applyBorder="1" applyAlignment="1">
      <alignment horizontal="center"/>
    </xf>
    <xf numFmtId="165" fontId="19" fillId="0" borderId="89" xfId="0" applyNumberFormat="1" applyFont="1" applyBorder="1" applyAlignment="1">
      <alignment horizontal="center"/>
    </xf>
    <xf numFmtId="165" fontId="19" fillId="0" borderId="85" xfId="0" applyNumberFormat="1" applyFont="1" applyBorder="1" applyAlignment="1">
      <alignment horizontal="center"/>
    </xf>
    <xf numFmtId="165" fontId="19" fillId="0" borderId="86" xfId="0" applyNumberFormat="1" applyFont="1" applyBorder="1" applyAlignment="1">
      <alignment horizontal="center"/>
    </xf>
    <xf numFmtId="165" fontId="19" fillId="0" borderId="90" xfId="0" applyNumberFormat="1" applyFont="1" applyBorder="1" applyAlignment="1">
      <alignment horizontal="center"/>
    </xf>
    <xf numFmtId="165" fontId="19" fillId="0" borderId="87" xfId="0" applyNumberFormat="1" applyFont="1" applyBorder="1" applyAlignment="1">
      <alignment horizontal="center"/>
    </xf>
    <xf numFmtId="0" fontId="0" fillId="0" borderId="94" xfId="0" applyBorder="1" applyAlignment="1">
      <alignment horizontal="center" wrapText="1"/>
    </xf>
    <xf numFmtId="0" fontId="0" fillId="0" borderId="95" xfId="0" applyBorder="1" applyAlignment="1">
      <alignment horizontal="center" wrapText="1"/>
    </xf>
    <xf numFmtId="0" fontId="19" fillId="4" borderId="97" xfId="0" applyFont="1" applyFill="1" applyBorder="1" applyAlignment="1">
      <alignment horizontal="left" vertical="center" wrapText="1"/>
    </xf>
    <xf numFmtId="0" fontId="19" fillId="2" borderId="98" xfId="0" applyFont="1" applyFill="1" applyBorder="1" applyAlignment="1">
      <alignment horizontal="left" vertical="center" wrapText="1"/>
    </xf>
    <xf numFmtId="0" fontId="19" fillId="4" borderId="98" xfId="0" applyFont="1" applyFill="1" applyBorder="1" applyAlignment="1">
      <alignment horizontal="left" vertical="center" wrapText="1"/>
    </xf>
    <xf numFmtId="0" fontId="19" fillId="0" borderId="98" xfId="0" applyFont="1" applyBorder="1"/>
    <xf numFmtId="0" fontId="19" fillId="0" borderId="96" xfId="0" applyFont="1" applyBorder="1"/>
    <xf numFmtId="0" fontId="0" fillId="0" borderId="93" xfId="0" applyBorder="1" applyAlignment="1">
      <alignment horizontal="center" wrapText="1"/>
    </xf>
    <xf numFmtId="0" fontId="4" fillId="0" borderId="87" xfId="0" applyFont="1" applyBorder="1" applyAlignment="1">
      <alignment horizontal="center"/>
    </xf>
    <xf numFmtId="0" fontId="19" fillId="0" borderId="23" xfId="0" applyFont="1" applyBorder="1" applyAlignment="1">
      <alignment horizontal="left"/>
    </xf>
    <xf numFmtId="2" fontId="26" fillId="0" borderId="39" xfId="0" quotePrefix="1" applyNumberFormat="1" applyFont="1" applyBorder="1" applyAlignment="1">
      <alignment horizontal="center" vertical="center" wrapText="1"/>
    </xf>
    <xf numFmtId="2" fontId="4" fillId="0" borderId="46" xfId="0" applyNumberFormat="1" applyFont="1" applyBorder="1" applyAlignment="1">
      <alignment horizontal="center" vertical="center"/>
    </xf>
    <xf numFmtId="167" fontId="8" fillId="6" borderId="42" xfId="0" applyNumberFormat="1" applyFont="1" applyFill="1" applyBorder="1" applyAlignment="1">
      <alignment vertical="center"/>
    </xf>
    <xf numFmtId="0" fontId="8" fillId="10" borderId="50" xfId="0" applyFont="1" applyFill="1" applyBorder="1" applyAlignment="1">
      <alignment horizontal="center" vertical="center"/>
    </xf>
    <xf numFmtId="167" fontId="8" fillId="6" borderId="107" xfId="0" applyNumberFormat="1" applyFont="1" applyFill="1" applyBorder="1" applyAlignment="1">
      <alignment vertical="center"/>
    </xf>
    <xf numFmtId="2" fontId="4" fillId="0" borderId="27" xfId="0" applyNumberFormat="1" applyFont="1" applyBorder="1" applyAlignment="1">
      <alignment horizontal="center" vertical="center"/>
    </xf>
    <xf numFmtId="2" fontId="4" fillId="0" borderId="28" xfId="0" applyNumberFormat="1" applyFont="1" applyBorder="1" applyAlignment="1">
      <alignment horizontal="center" vertical="center"/>
    </xf>
    <xf numFmtId="2" fontId="4" fillId="0" borderId="29" xfId="0" applyNumberFormat="1" applyFont="1" applyBorder="1" applyAlignment="1">
      <alignment horizontal="center" vertical="center"/>
    </xf>
    <xf numFmtId="165" fontId="0" fillId="0" borderId="106" xfId="0" applyNumberFormat="1" applyBorder="1" applyAlignment="1">
      <alignment horizontal="center"/>
    </xf>
    <xf numFmtId="165" fontId="0" fillId="0" borderId="101" xfId="0" applyNumberFormat="1" applyBorder="1" applyAlignment="1">
      <alignment horizontal="center"/>
    </xf>
    <xf numFmtId="165" fontId="0" fillId="0" borderId="102" xfId="0" applyNumberFormat="1" applyBorder="1" applyAlignment="1">
      <alignment horizontal="center"/>
    </xf>
    <xf numFmtId="165" fontId="0" fillId="0" borderId="103" xfId="0" applyNumberFormat="1" applyBorder="1" applyAlignment="1">
      <alignment horizontal="center"/>
    </xf>
    <xf numFmtId="165" fontId="0" fillId="0" borderId="96" xfId="0" applyNumberFormat="1" applyBorder="1" applyAlignment="1">
      <alignment horizontal="center"/>
    </xf>
    <xf numFmtId="166" fontId="0" fillId="0" borderId="104" xfId="2" applyNumberFormat="1" applyFont="1" applyBorder="1" applyAlignment="1">
      <alignment horizontal="center"/>
    </xf>
    <xf numFmtId="166" fontId="0" fillId="0" borderId="105" xfId="0" applyNumberFormat="1" applyBorder="1" applyAlignment="1">
      <alignment horizontal="center"/>
    </xf>
    <xf numFmtId="166" fontId="0" fillId="0" borderId="92" xfId="2" applyNumberFormat="1" applyFont="1" applyBorder="1" applyAlignment="1">
      <alignment horizontal="center"/>
    </xf>
    <xf numFmtId="166" fontId="0" fillId="0" borderId="99" xfId="0" applyNumberFormat="1" applyBorder="1" applyAlignment="1">
      <alignment horizontal="center"/>
    </xf>
    <xf numFmtId="166" fontId="0" fillId="0" borderId="91" xfId="2" applyNumberFormat="1" applyFont="1" applyBorder="1" applyAlignment="1">
      <alignment horizontal="center"/>
    </xf>
    <xf numFmtId="166" fontId="0" fillId="0" borderId="100" xfId="0" applyNumberFormat="1" applyBorder="1" applyAlignment="1">
      <alignment horizontal="center"/>
    </xf>
    <xf numFmtId="166" fontId="0" fillId="0" borderId="70" xfId="2" applyNumberFormat="1" applyFont="1" applyBorder="1" applyAlignment="1">
      <alignment horizontal="center"/>
    </xf>
    <xf numFmtId="166" fontId="0" fillId="0" borderId="75" xfId="0" applyNumberFormat="1" applyBorder="1" applyAlignment="1">
      <alignment horizontal="center"/>
    </xf>
    <xf numFmtId="2" fontId="0" fillId="0" borderId="70" xfId="2" applyNumberFormat="1" applyFont="1" applyBorder="1" applyAlignment="1">
      <alignment horizontal="center"/>
    </xf>
    <xf numFmtId="0" fontId="22" fillId="0" borderId="54" xfId="0" applyFont="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165" fontId="8" fillId="6" borderId="43" xfId="0" applyNumberFormat="1" applyFont="1" applyFill="1" applyBorder="1" applyAlignment="1">
      <alignment horizontal="center" vertical="center"/>
    </xf>
    <xf numFmtId="165" fontId="8" fillId="6" borderId="42" xfId="0" applyNumberFormat="1" applyFont="1" applyFill="1" applyBorder="1" applyAlignment="1">
      <alignment horizontal="center" vertical="center"/>
    </xf>
    <xf numFmtId="165" fontId="8" fillId="6" borderId="65" xfId="0" applyNumberFormat="1" applyFont="1" applyFill="1" applyBorder="1" applyAlignment="1">
      <alignment horizontal="center" vertical="center"/>
    </xf>
    <xf numFmtId="165" fontId="8" fillId="10" borderId="7" xfId="0" applyNumberFormat="1" applyFont="1" applyFill="1" applyBorder="1" applyAlignment="1">
      <alignment horizontal="center" vertical="center"/>
    </xf>
    <xf numFmtId="165" fontId="8" fillId="10" borderId="50" xfId="0" applyNumberFormat="1" applyFont="1" applyFill="1" applyBorder="1" applyAlignment="1">
      <alignment horizontal="center" vertical="center"/>
    </xf>
    <xf numFmtId="165" fontId="8" fillId="10" borderId="67" xfId="0" applyNumberFormat="1" applyFont="1" applyFill="1" applyBorder="1" applyAlignment="1">
      <alignment horizontal="center" vertical="center"/>
    </xf>
    <xf numFmtId="0" fontId="33" fillId="0" borderId="108" xfId="0" applyFont="1" applyBorder="1" applyAlignment="1">
      <alignment horizontal="center" vertical="center"/>
    </xf>
    <xf numFmtId="0" fontId="0" fillId="0" borderId="108" xfId="0" applyBorder="1" applyAlignment="1">
      <alignment horizontal="center" vertical="center"/>
    </xf>
    <xf numFmtId="0" fontId="13" fillId="0" borderId="51" xfId="0" applyFont="1" applyBorder="1" applyAlignment="1">
      <alignment horizontal="right" vertical="center" wrapText="1"/>
    </xf>
    <xf numFmtId="0" fontId="13" fillId="0" borderId="52" xfId="0" applyFont="1" applyBorder="1" applyAlignment="1">
      <alignment horizontal="right" vertical="center" wrapText="1"/>
    </xf>
    <xf numFmtId="0" fontId="29" fillId="10" borderId="66" xfId="0" applyFont="1" applyFill="1" applyBorder="1" applyAlignment="1">
      <alignment horizontal="right" vertical="center"/>
    </xf>
    <xf numFmtId="0" fontId="30" fillId="10" borderId="41" xfId="0" applyFont="1" applyFill="1" applyBorder="1" applyAlignment="1">
      <alignment vertical="center"/>
    </xf>
    <xf numFmtId="2" fontId="4" fillId="0" borderId="6" xfId="0" applyNumberFormat="1" applyFont="1" applyBorder="1" applyAlignment="1">
      <alignment horizontal="center" vertical="center" wrapText="1"/>
    </xf>
    <xf numFmtId="0" fontId="0" fillId="0" borderId="68" xfId="0" applyBorder="1" applyAlignment="1">
      <alignment horizontal="center" vertical="center" wrapText="1"/>
    </xf>
    <xf numFmtId="0" fontId="29" fillId="6" borderId="64" xfId="0" applyFont="1" applyFill="1" applyBorder="1" applyAlignment="1">
      <alignment horizontal="right" vertical="center" wrapText="1"/>
    </xf>
    <xf numFmtId="0" fontId="30" fillId="6" borderId="42" xfId="0" applyFont="1" applyFill="1" applyBorder="1" applyAlignment="1">
      <alignment vertical="center"/>
    </xf>
    <xf numFmtId="0" fontId="27" fillId="0" borderId="54" xfId="0" applyFont="1" applyBorder="1" applyAlignment="1">
      <alignment horizontal="center" vertical="center" wrapText="1"/>
    </xf>
    <xf numFmtId="0" fontId="0" fillId="0" borderId="52" xfId="0" applyBorder="1" applyAlignment="1">
      <alignment horizontal="center" vertical="center" wrapText="1"/>
    </xf>
    <xf numFmtId="0" fontId="23" fillId="0" borderId="3" xfId="0" applyFont="1" applyBorder="1" applyAlignment="1">
      <alignment horizontal="center" vertical="center" textRotation="90"/>
    </xf>
    <xf numFmtId="0" fontId="23" fillId="0" borderId="5" xfId="0" applyFont="1" applyBorder="1" applyAlignment="1">
      <alignment horizontal="center" vertical="center" textRotation="90"/>
    </xf>
    <xf numFmtId="0" fontId="23" fillId="0" borderId="20" xfId="0" applyFont="1" applyBorder="1" applyAlignment="1">
      <alignment horizontal="center" vertical="center" textRotation="90"/>
    </xf>
    <xf numFmtId="0" fontId="15" fillId="0" borderId="0" xfId="0" applyFont="1" applyAlignment="1">
      <alignment horizontal="center" vertical="center"/>
    </xf>
    <xf numFmtId="0" fontId="10" fillId="2" borderId="4" xfId="0" applyFont="1" applyFill="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10" fillId="0" borderId="44" xfId="0" applyFont="1" applyBorder="1" applyAlignment="1">
      <alignment horizontal="center" vertical="center" wrapText="1"/>
    </xf>
    <xf numFmtId="0" fontId="10" fillId="0" borderId="45"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21" xfId="0" applyFont="1" applyBorder="1" applyAlignment="1">
      <alignment horizontal="center" wrapText="1"/>
    </xf>
    <xf numFmtId="0" fontId="5" fillId="0" borderId="22" xfId="0" applyFont="1" applyBorder="1" applyAlignment="1">
      <alignment horizontal="center" wrapText="1"/>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2" fillId="0" borderId="0" xfId="0" applyFont="1" applyAlignment="1">
      <alignment vertical="center" wrapText="1"/>
    </xf>
    <xf numFmtId="0" fontId="0" fillId="0" borderId="0" xfId="0" applyAlignment="1">
      <alignment vertical="center" wrapText="1"/>
    </xf>
    <xf numFmtId="0" fontId="2" fillId="0" borderId="0" xfId="0" applyFont="1" applyAlignment="1">
      <alignment vertical="top" wrapText="1"/>
    </xf>
    <xf numFmtId="0" fontId="0" fillId="0" borderId="0" xfId="0" applyAlignment="1">
      <alignment vertical="top" wrapText="1"/>
    </xf>
    <xf numFmtId="0" fontId="23" fillId="0" borderId="33" xfId="0" applyFont="1" applyBorder="1" applyAlignment="1">
      <alignment horizontal="center" vertical="center" textRotation="90"/>
    </xf>
    <xf numFmtId="0" fontId="23" fillId="0" borderId="35" xfId="0" applyFont="1" applyBorder="1" applyAlignment="1">
      <alignment horizontal="center" vertical="center" textRotation="90"/>
    </xf>
    <xf numFmtId="0" fontId="0" fillId="0" borderId="69" xfId="0" applyBorder="1" applyAlignment="1">
      <alignment horizontal="left" vertical="center" wrapText="1"/>
    </xf>
    <xf numFmtId="0" fontId="0" fillId="0" borderId="76" xfId="0" applyBorder="1" applyAlignment="1">
      <alignment horizontal="left" vertical="center"/>
    </xf>
    <xf numFmtId="0" fontId="0" fillId="0" borderId="78" xfId="0" applyBorder="1" applyAlignment="1">
      <alignment horizontal="left" vertical="center"/>
    </xf>
    <xf numFmtId="0" fontId="0" fillId="0" borderId="79" xfId="0" applyBorder="1" applyAlignment="1">
      <alignment horizontal="left" vertical="center"/>
    </xf>
    <xf numFmtId="0" fontId="2" fillId="0" borderId="77" xfId="0" applyFont="1" applyBorder="1" applyAlignment="1">
      <alignment vertical="center" wrapText="1"/>
    </xf>
    <xf numFmtId="0" fontId="0" fillId="0" borderId="80" xfId="0" applyBorder="1" applyAlignment="1">
      <alignment vertical="center" wrapText="1"/>
    </xf>
    <xf numFmtId="0" fontId="21" fillId="0" borderId="40" xfId="0" applyFont="1" applyBorder="1" applyAlignment="1">
      <alignment horizontal="center" vertical="center"/>
    </xf>
    <xf numFmtId="0" fontId="21" fillId="0" borderId="0" xfId="0" applyFont="1" applyAlignment="1">
      <alignment horizontal="center" vertical="center"/>
    </xf>
    <xf numFmtId="0" fontId="9" fillId="0" borderId="0" xfId="0" applyFont="1" applyAlignment="1">
      <alignment horizontal="center" vertical="center"/>
    </xf>
    <xf numFmtId="0" fontId="21" fillId="0" borderId="0" xfId="0" applyFont="1" applyAlignment="1">
      <alignment horizontal="left" vertical="center" wrapText="1"/>
    </xf>
    <xf numFmtId="0" fontId="9" fillId="0" borderId="44" xfId="0" applyFont="1" applyBorder="1" applyAlignment="1">
      <alignment horizontal="center" vertical="center"/>
    </xf>
    <xf numFmtId="0" fontId="18" fillId="0" borderId="0" xfId="0" applyFont="1" applyAlignment="1">
      <alignment horizontal="center"/>
    </xf>
    <xf numFmtId="0" fontId="19" fillId="5" borderId="0" xfId="0" applyFont="1" applyFill="1" applyAlignment="1">
      <alignment horizontal="center"/>
    </xf>
    <xf numFmtId="0" fontId="2" fillId="0" borderId="0" xfId="0" applyFont="1" applyAlignment="1">
      <alignment horizontal="center" vertical="center" wrapText="1"/>
    </xf>
    <xf numFmtId="0" fontId="0" fillId="0" borderId="108" xfId="0" applyBorder="1" applyAlignment="1"/>
  </cellXfs>
  <cellStyles count="3">
    <cellStyle name="Lien hypertexte" xfId="1" builtinId="8"/>
    <cellStyle name="Normal" xfId="0" builtinId="0"/>
    <cellStyle name="Pourcentage" xfId="2" builtinId="5"/>
  </cellStyles>
  <dxfs count="24">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9" defaultPivotStyle="PivotStyleLight16"/>
  <colors>
    <mruColors>
      <color rgb="FFBAC6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34925</xdr:rowOff>
    </xdr:from>
    <xdr:to>
      <xdr:col>1</xdr:col>
      <xdr:colOff>96547</xdr:colOff>
      <xdr:row>0</xdr:row>
      <xdr:rowOff>551361</xdr:rowOff>
    </xdr:to>
    <xdr:pic>
      <xdr:nvPicPr>
        <xdr:cNvPr id="5311" name="Picture 1" descr="CTQmm2c [Converti]">
          <a:extLst>
            <a:ext uri="{FF2B5EF4-FFF2-40B4-BE49-F238E27FC236}">
              <a16:creationId xmlns:a16="http://schemas.microsoft.com/office/drawing/2014/main" id="{00000000-0008-0000-00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34925"/>
          <a:ext cx="1906752" cy="511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114300</xdr:rowOff>
    </xdr:from>
    <xdr:to>
      <xdr:col>0</xdr:col>
      <xdr:colOff>1582782</xdr:colOff>
      <xdr:row>0</xdr:row>
      <xdr:rowOff>571500</xdr:rowOff>
    </xdr:to>
    <xdr:pic>
      <xdr:nvPicPr>
        <xdr:cNvPr id="2324" name="Picture 1" descr="CTQmm2c [Converti]">
          <a:extLst>
            <a:ext uri="{FF2B5EF4-FFF2-40B4-BE49-F238E27FC236}">
              <a16:creationId xmlns:a16="http://schemas.microsoft.com/office/drawing/2014/main" id="{00000000-0008-0000-0200-0000140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14300"/>
          <a:ext cx="14382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16</xdr:row>
      <xdr:rowOff>114300</xdr:rowOff>
    </xdr:from>
    <xdr:to>
      <xdr:col>0</xdr:col>
      <xdr:colOff>1582782</xdr:colOff>
      <xdr:row>16</xdr:row>
      <xdr:rowOff>571500</xdr:rowOff>
    </xdr:to>
    <xdr:pic>
      <xdr:nvPicPr>
        <xdr:cNvPr id="2326" name="Picture 1" descr="CTQmm2c [Converti]">
          <a:extLst>
            <a:ext uri="{FF2B5EF4-FFF2-40B4-BE49-F238E27FC236}">
              <a16:creationId xmlns:a16="http://schemas.microsoft.com/office/drawing/2014/main" id="{00000000-0008-0000-0200-0000160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96075"/>
          <a:ext cx="14382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150.statcan.gc.ca/n1/release-diffusion/2025-fr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8"/>
  <sheetViews>
    <sheetView tabSelected="1" zoomScale="70" zoomScaleNormal="70" workbookViewId="0">
      <selection activeCell="AC8" sqref="AC8"/>
    </sheetView>
  </sheetViews>
  <sheetFormatPr baseColWidth="10" defaultRowHeight="12.75" x14ac:dyDescent="0.2"/>
  <cols>
    <col min="1" max="1" width="30.28515625" style="11" customWidth="1"/>
    <col min="2" max="2" width="9.7109375" style="1" customWidth="1"/>
    <col min="3" max="3" width="9.7109375" style="1" hidden="1" customWidth="1"/>
    <col min="4" max="4" width="10.7109375" customWidth="1"/>
    <col min="5" max="5" width="20.5703125" hidden="1" customWidth="1"/>
    <col min="6" max="8" width="10.7109375" customWidth="1"/>
    <col min="9" max="9" width="16" hidden="1" customWidth="1"/>
    <col min="10" max="11" width="8.85546875" customWidth="1"/>
    <col min="12" max="12" width="11.140625" customWidth="1"/>
    <col min="13" max="13" width="37.5703125" hidden="1" customWidth="1"/>
  </cols>
  <sheetData>
    <row r="1" spans="1:16" ht="54" customHeight="1" thickBot="1" x14ac:dyDescent="0.25">
      <c r="A1" s="212" t="s">
        <v>223</v>
      </c>
      <c r="B1" s="213"/>
      <c r="C1" s="213"/>
      <c r="D1" s="213"/>
      <c r="E1" s="213"/>
      <c r="F1" s="213"/>
      <c r="G1" s="213"/>
      <c r="H1" s="213"/>
      <c r="I1" s="213"/>
      <c r="J1" s="213"/>
      <c r="K1" s="213"/>
      <c r="L1" s="213"/>
      <c r="M1" s="260"/>
      <c r="N1" s="260"/>
      <c r="O1" s="260"/>
      <c r="P1" s="260"/>
    </row>
    <row r="2" spans="1:16" s="109" customFormat="1" ht="48.75" customHeight="1" x14ac:dyDescent="0.2">
      <c r="A2" s="214" t="s">
        <v>95</v>
      </c>
      <c r="B2" s="215"/>
      <c r="C2" s="119"/>
      <c r="D2" s="120" t="s">
        <v>117</v>
      </c>
      <c r="E2" s="222" t="s">
        <v>122</v>
      </c>
      <c r="F2" s="204"/>
      <c r="G2" s="204"/>
      <c r="H2" s="223"/>
      <c r="I2" s="203" t="s">
        <v>127</v>
      </c>
      <c r="J2" s="204"/>
      <c r="K2" s="204"/>
      <c r="L2" s="205"/>
      <c r="M2" s="203" t="s">
        <v>161</v>
      </c>
      <c r="N2" s="204"/>
      <c r="O2" s="204"/>
      <c r="P2" s="205"/>
    </row>
    <row r="3" spans="1:16" s="13" customFormat="1" ht="42.75" customHeight="1" x14ac:dyDescent="0.2">
      <c r="A3" s="121" t="s">
        <v>36</v>
      </c>
      <c r="B3" s="12" t="s">
        <v>27</v>
      </c>
      <c r="C3" s="130" t="s">
        <v>103</v>
      </c>
      <c r="D3" s="140" t="s">
        <v>101</v>
      </c>
      <c r="E3" s="181" t="s">
        <v>103</v>
      </c>
      <c r="F3" s="181" t="s">
        <v>126</v>
      </c>
      <c r="G3" s="115" t="s">
        <v>11</v>
      </c>
      <c r="H3" s="181" t="s">
        <v>0</v>
      </c>
      <c r="I3" s="135" t="s">
        <v>103</v>
      </c>
      <c r="J3" s="110" t="s">
        <v>160</v>
      </c>
      <c r="K3" s="115" t="s">
        <v>11</v>
      </c>
      <c r="L3" s="122" t="s">
        <v>0</v>
      </c>
      <c r="M3" s="135" t="s">
        <v>103</v>
      </c>
      <c r="N3" s="110" t="s">
        <v>222</v>
      </c>
      <c r="O3" s="115" t="s">
        <v>11</v>
      </c>
      <c r="P3" s="122" t="s">
        <v>0</v>
      </c>
    </row>
    <row r="4" spans="1:16" ht="50.1" customHeight="1" x14ac:dyDescent="0.2">
      <c r="A4" s="123" t="s">
        <v>9</v>
      </c>
      <c r="B4" s="58">
        <v>26.885000000000002</v>
      </c>
      <c r="C4" s="131" t="s">
        <v>104</v>
      </c>
      <c r="D4" s="186">
        <f>'DONNÉES STATCAN'!C14</f>
        <v>1112.51</v>
      </c>
      <c r="E4" s="141" t="s">
        <v>104</v>
      </c>
      <c r="F4" s="141">
        <f>'DONNÉES STATCAN'!C27</f>
        <v>1164.07</v>
      </c>
      <c r="G4" s="145">
        <f>((F4-D4)/D4)</f>
        <v>4.6345650825610506E-2</v>
      </c>
      <c r="H4" s="141">
        <v>1.2460028224465385</v>
      </c>
      <c r="I4" s="136" t="s">
        <v>104</v>
      </c>
      <c r="J4" s="61">
        <f>'DONNÉES STATCAN'!C40</f>
        <v>1224.77</v>
      </c>
      <c r="K4" s="145">
        <f>((J4-$D4)/$D4)-G4</f>
        <v>5.4561307314091596E-2</v>
      </c>
      <c r="L4" s="124">
        <f t="shared" ref="L4:L13" si="0">K4*$B4</f>
        <v>1.4668807471393526</v>
      </c>
      <c r="M4" s="136" t="s">
        <v>104</v>
      </c>
      <c r="N4" s="61">
        <f>'DONNÉES STATCAN'!C53</f>
        <v>1263.1400000000001</v>
      </c>
      <c r="O4" s="145">
        <f t="shared" ref="O4:O13" si="1">((N4-$D4)/$D4)-G4-K4</f>
        <v>3.4489577621774285E-2</v>
      </c>
      <c r="P4" s="124">
        <f>O4*B4</f>
        <v>0.92725229436140166</v>
      </c>
    </row>
    <row r="5" spans="1:16" ht="54.75" customHeight="1" x14ac:dyDescent="0.2">
      <c r="A5" s="125" t="s">
        <v>79</v>
      </c>
      <c r="B5" s="59">
        <v>26.885000000000002</v>
      </c>
      <c r="C5" s="132" t="s">
        <v>104</v>
      </c>
      <c r="D5" s="187">
        <f>'DONNÉES STATCAN'!D14</f>
        <v>1125.0016666666668</v>
      </c>
      <c r="E5" s="142" t="s">
        <v>104</v>
      </c>
      <c r="F5" s="142">
        <f>'DONNÉES STATCAN'!D27</f>
        <v>1160.6025</v>
      </c>
      <c r="G5" s="21">
        <f t="shared" ref="G5:G13" si="2">((F5-D5)/D5)</f>
        <v>3.1645138303498674E-2</v>
      </c>
      <c r="H5" s="142">
        <v>0.85077954328956185</v>
      </c>
      <c r="I5" s="137" t="s">
        <v>104</v>
      </c>
      <c r="J5" s="62">
        <f>'DONNÉES STATCAN'!D40</f>
        <v>1204.7516666666668</v>
      </c>
      <c r="K5" s="21">
        <f t="shared" ref="K5:K13" si="3">((J5-$D5)/$D5)-G5</f>
        <v>3.9243645564969662E-2</v>
      </c>
      <c r="L5" s="126">
        <f t="shared" si="0"/>
        <v>1.0550654110142095</v>
      </c>
      <c r="M5" s="137" t="s">
        <v>104</v>
      </c>
      <c r="N5" s="62">
        <f>'DONNÉES STATCAN'!D53</f>
        <v>1218.0541666666666</v>
      </c>
      <c r="O5" s="21">
        <f t="shared" si="1"/>
        <v>1.1824426926774725E-2</v>
      </c>
      <c r="P5" s="126">
        <f t="shared" ref="P5:P6" si="4">O5*B5</f>
        <v>0.31789971792633853</v>
      </c>
    </row>
    <row r="6" spans="1:16" ht="50.1" customHeight="1" x14ac:dyDescent="0.2">
      <c r="A6" s="125" t="s">
        <v>43</v>
      </c>
      <c r="B6" s="59">
        <v>5.98</v>
      </c>
      <c r="C6" s="132" t="s">
        <v>104</v>
      </c>
      <c r="D6" s="187">
        <f>'DONNÉES STATCAN'!E14</f>
        <v>121.9</v>
      </c>
      <c r="E6" s="142" t="s">
        <v>104</v>
      </c>
      <c r="F6" s="142">
        <f>'DONNÉES STATCAN'!E27</f>
        <v>124.5</v>
      </c>
      <c r="G6" s="21">
        <f t="shared" si="2"/>
        <v>2.1328958162428174E-2</v>
      </c>
      <c r="H6" s="142">
        <v>0.1275471698113205</v>
      </c>
      <c r="I6" s="137" t="s">
        <v>104</v>
      </c>
      <c r="J6" s="62">
        <f>'DONNÉES STATCAN'!E40</f>
        <v>122.8</v>
      </c>
      <c r="K6" s="21">
        <f t="shared" si="3"/>
        <v>-1.3945857260049245E-2</v>
      </c>
      <c r="L6" s="126">
        <f t="shared" si="0"/>
        <v>-8.339622641509449E-2</v>
      </c>
      <c r="M6" s="137" t="s">
        <v>104</v>
      </c>
      <c r="N6" s="62">
        <f>'DONNÉES STATCAN'!E53</f>
        <v>128.1</v>
      </c>
      <c r="O6" s="21">
        <f t="shared" si="1"/>
        <v>4.3478260869565188E-2</v>
      </c>
      <c r="P6" s="126">
        <f t="shared" si="4"/>
        <v>0.25999999999999984</v>
      </c>
    </row>
    <row r="7" spans="1:16" ht="50.1" customHeight="1" x14ac:dyDescent="0.2">
      <c r="A7" s="125" t="s">
        <v>2</v>
      </c>
      <c r="B7" s="218">
        <v>19.47</v>
      </c>
      <c r="C7" s="133">
        <f>'Données aut. FE'!D6*B7</f>
        <v>18.379756240822321</v>
      </c>
      <c r="D7" s="187">
        <f>'DONNÉES STATCAN'!F14</f>
        <v>239.95833333333334</v>
      </c>
      <c r="E7" s="182">
        <v>17.908108743213678</v>
      </c>
      <c r="F7" s="182">
        <f>'DONNÉES STATCAN'!F27</f>
        <v>230.45000000000002</v>
      </c>
      <c r="G7" s="21">
        <f t="shared" si="2"/>
        <v>-3.9624934884528534E-2</v>
      </c>
      <c r="H7" s="182">
        <v>-0.70960764285489808</v>
      </c>
      <c r="I7" s="138">
        <f>('Données aut. FE'!$D32*'CALCUL ICT'!$B$7)</f>
        <v>16.646849999999997</v>
      </c>
      <c r="J7" s="62">
        <f>'DONNÉES STATCAN'!F40</f>
        <v>231.24166666666667</v>
      </c>
      <c r="K7" s="21">
        <f t="shared" si="3"/>
        <v>3.2991838860913017E-3</v>
      </c>
      <c r="L7" s="126">
        <f>K7*$I7</f>
        <v>5.4921019274178973E-2</v>
      </c>
      <c r="M7" s="138">
        <f>('Données aut. FE'!$D45*'CALCUL ICT'!$B$7)</f>
        <v>15.868049999999998</v>
      </c>
      <c r="N7" s="62">
        <f>'DONNÉES STATCAN'!F53</f>
        <v>214.48333333333335</v>
      </c>
      <c r="O7" s="21">
        <f t="shared" si="1"/>
        <v>-6.983851363083865E-2</v>
      </c>
      <c r="P7" s="126">
        <f>O7*$M7</f>
        <v>-1.1082010262198292</v>
      </c>
    </row>
    <row r="8" spans="1:16" ht="50.1" customHeight="1" x14ac:dyDescent="0.2">
      <c r="A8" s="125" t="s">
        <v>102</v>
      </c>
      <c r="B8" s="219"/>
      <c r="C8" s="133">
        <f>('Données aut. FE'!C6*'CALCUL ICT'!$B$7)</f>
        <v>1.0902437591776799</v>
      </c>
      <c r="D8" s="187">
        <f>'Données aut. FE'!E6</f>
        <v>100</v>
      </c>
      <c r="E8" s="182">
        <v>1.5618912567863219</v>
      </c>
      <c r="F8" s="182">
        <f>'Données aut. FE'!E19</f>
        <v>103</v>
      </c>
      <c r="G8" s="21">
        <f t="shared" si="2"/>
        <v>0.03</v>
      </c>
      <c r="H8" s="182">
        <v>4.6856737703589654E-2</v>
      </c>
      <c r="I8" s="138">
        <f>('Données aut. FE'!$C32*'CALCUL ICT'!$B$7)</f>
        <v>2.8231499999999996</v>
      </c>
      <c r="J8" s="62">
        <f>'Données aut. FE'!E32</f>
        <v>106.09</v>
      </c>
      <c r="K8" s="21">
        <f t="shared" si="3"/>
        <v>3.0900000000000039E-2</v>
      </c>
      <c r="L8" s="126">
        <f>K8*$I8</f>
        <v>8.7235335000000094E-2</v>
      </c>
      <c r="M8" s="138">
        <f>('Données aut. FE'!$C45*'CALCUL ICT'!$B$7)</f>
        <v>3.6019499999999995</v>
      </c>
      <c r="N8" s="62">
        <f>'Données aut. FE'!E45</f>
        <v>109.3</v>
      </c>
      <c r="O8" s="21">
        <f t="shared" si="1"/>
        <v>3.2099999999999934E-2</v>
      </c>
      <c r="P8" s="126">
        <f>O8*$M8</f>
        <v>0.11562259499999974</v>
      </c>
    </row>
    <row r="9" spans="1:16" ht="50.1" customHeight="1" x14ac:dyDescent="0.2">
      <c r="A9" s="125" t="s">
        <v>44</v>
      </c>
      <c r="B9" s="59">
        <v>10.66</v>
      </c>
      <c r="C9" s="132" t="s">
        <v>104</v>
      </c>
      <c r="D9" s="187">
        <f>'DONNÉES STATCAN'!G14</f>
        <v>169.6</v>
      </c>
      <c r="E9" s="142" t="s">
        <v>104</v>
      </c>
      <c r="F9" s="142">
        <f>'DONNÉES STATCAN'!G27</f>
        <v>179.9</v>
      </c>
      <c r="G9" s="21">
        <f t="shared" si="2"/>
        <v>6.0731132075471768E-2</v>
      </c>
      <c r="H9" s="142">
        <v>0.64739386792452902</v>
      </c>
      <c r="I9" s="137" t="s">
        <v>104</v>
      </c>
      <c r="J9" s="62">
        <f>'DONNÉES STATCAN'!G40</f>
        <v>185.8</v>
      </c>
      <c r="K9" s="21">
        <f t="shared" si="3"/>
        <v>3.4787735849056638E-2</v>
      </c>
      <c r="L9" s="126">
        <f t="shared" si="0"/>
        <v>0.37083726415094376</v>
      </c>
      <c r="M9" s="137" t="s">
        <v>104</v>
      </c>
      <c r="N9" s="62">
        <f>'DONNÉES STATCAN'!G53</f>
        <v>193.7</v>
      </c>
      <c r="O9" s="21">
        <f t="shared" si="1"/>
        <v>4.6580188679245162E-2</v>
      </c>
      <c r="P9" s="126">
        <f t="shared" ref="P9:P13" si="5">O9*$B9</f>
        <v>0.49654481132075345</v>
      </c>
    </row>
    <row r="10" spans="1:16" ht="50.1" customHeight="1" x14ac:dyDescent="0.2">
      <c r="A10" s="125" t="s">
        <v>45</v>
      </c>
      <c r="B10" s="59">
        <v>3.15</v>
      </c>
      <c r="C10" s="132" t="s">
        <v>104</v>
      </c>
      <c r="D10" s="187">
        <f>'DONNÉES STATCAN'!H14</f>
        <v>214.4</v>
      </c>
      <c r="E10" s="142" t="s">
        <v>104</v>
      </c>
      <c r="F10" s="142">
        <f>'DONNÉES STATCAN'!H27</f>
        <v>221.9</v>
      </c>
      <c r="G10" s="21">
        <f t="shared" si="2"/>
        <v>3.4981343283582086E-2</v>
      </c>
      <c r="H10" s="142">
        <v>0.11019123134328357</v>
      </c>
      <c r="I10" s="137" t="s">
        <v>104</v>
      </c>
      <c r="J10" s="62">
        <f>'DONNÉES STATCAN'!H40</f>
        <v>236.7</v>
      </c>
      <c r="K10" s="21">
        <f t="shared" si="3"/>
        <v>6.9029850746268578E-2</v>
      </c>
      <c r="L10" s="126">
        <f t="shared" si="0"/>
        <v>0.21744402985074601</v>
      </c>
      <c r="M10" s="137" t="s">
        <v>104</v>
      </c>
      <c r="N10" s="62">
        <f>'DONNÉES STATCAN'!H53</f>
        <v>239</v>
      </c>
      <c r="O10" s="21">
        <f t="shared" si="1"/>
        <v>1.0727611940298559E-2</v>
      </c>
      <c r="P10" s="126">
        <f t="shared" si="5"/>
        <v>3.3791977611940457E-2</v>
      </c>
    </row>
    <row r="11" spans="1:16" ht="50.1" customHeight="1" x14ac:dyDescent="0.2">
      <c r="A11" s="125" t="s">
        <v>46</v>
      </c>
      <c r="B11" s="59">
        <v>0.52</v>
      </c>
      <c r="C11" s="132" t="s">
        <v>104</v>
      </c>
      <c r="D11" s="187">
        <f>'DONNÉES STATCAN'!I14</f>
        <v>121.7</v>
      </c>
      <c r="E11" s="142" t="s">
        <v>104</v>
      </c>
      <c r="F11" s="142">
        <f>'DONNÉES STATCAN'!I27</f>
        <v>127.4</v>
      </c>
      <c r="G11" s="21">
        <f t="shared" si="2"/>
        <v>4.6836483155299938E-2</v>
      </c>
      <c r="H11" s="142">
        <v>2.4354971240755967E-2</v>
      </c>
      <c r="I11" s="137" t="s">
        <v>104</v>
      </c>
      <c r="J11" s="62">
        <f>'DONNÉES STATCAN'!I40</f>
        <v>130.6</v>
      </c>
      <c r="K11" s="21">
        <f t="shared" si="3"/>
        <v>2.6294165981922663E-2</v>
      </c>
      <c r="L11" s="126">
        <f t="shared" si="0"/>
        <v>1.3672966310599785E-2</v>
      </c>
      <c r="M11" s="137" t="s">
        <v>104</v>
      </c>
      <c r="N11" s="62">
        <f>'DONNÉES STATCAN'!I53</f>
        <v>133.80000000000001</v>
      </c>
      <c r="O11" s="21">
        <f t="shared" si="1"/>
        <v>2.6294165981922912E-2</v>
      </c>
      <c r="P11" s="126">
        <f t="shared" si="5"/>
        <v>1.3672966310599916E-2</v>
      </c>
    </row>
    <row r="12" spans="1:16" ht="50.1" customHeight="1" x14ac:dyDescent="0.2">
      <c r="A12" s="125" t="s">
        <v>10</v>
      </c>
      <c r="B12" s="59">
        <v>4.7699999999999996</v>
      </c>
      <c r="C12" s="132" t="s">
        <v>104</v>
      </c>
      <c r="D12" s="187">
        <f>'DONNÉES STATCAN'!J14</f>
        <v>137.80000000000001</v>
      </c>
      <c r="E12" s="142" t="s">
        <v>104</v>
      </c>
      <c r="F12" s="142">
        <f>'DONNÉES STATCAN'!J27</f>
        <v>143.69999999999999</v>
      </c>
      <c r="G12" s="146">
        <f t="shared" si="2"/>
        <v>4.2815674891146419E-2</v>
      </c>
      <c r="H12" s="142">
        <v>0.20423076923076841</v>
      </c>
      <c r="I12" s="137" t="s">
        <v>104</v>
      </c>
      <c r="J12" s="62">
        <f>'DONNÉES STATCAN'!J40</f>
        <v>146.6</v>
      </c>
      <c r="K12" s="146">
        <f t="shared" si="3"/>
        <v>2.1044992743105992E-2</v>
      </c>
      <c r="L12" s="126">
        <f t="shared" si="0"/>
        <v>0.10038461538461557</v>
      </c>
      <c r="M12" s="137" t="s">
        <v>104</v>
      </c>
      <c r="N12" s="62">
        <f>'DONNÉES STATCAN'!J53</f>
        <v>151</v>
      </c>
      <c r="O12" s="21">
        <f t="shared" si="1"/>
        <v>3.1930333817126302E-2</v>
      </c>
      <c r="P12" s="126">
        <f t="shared" si="5"/>
        <v>0.15230769230769245</v>
      </c>
    </row>
    <row r="13" spans="1:16" ht="50.1" customHeight="1" thickBot="1" x14ac:dyDescent="0.25">
      <c r="A13" s="127" t="s">
        <v>8</v>
      </c>
      <c r="B13" s="60">
        <v>1.67</v>
      </c>
      <c r="C13" s="133" t="s">
        <v>104</v>
      </c>
      <c r="D13" s="188">
        <f>'DONNÉES STATCAN'!K14</f>
        <v>157.9</v>
      </c>
      <c r="E13" s="143" t="s">
        <v>104</v>
      </c>
      <c r="F13" s="143">
        <f>'DONNÉES STATCAN'!K27</f>
        <v>166.9</v>
      </c>
      <c r="G13" s="146">
        <f t="shared" si="2"/>
        <v>5.6998100063331218E-2</v>
      </c>
      <c r="H13" s="143">
        <v>9.5186827105763136E-2</v>
      </c>
      <c r="I13" s="139" t="s">
        <v>104</v>
      </c>
      <c r="J13" s="63">
        <f>'DONNÉES STATCAN'!K40</f>
        <v>174</v>
      </c>
      <c r="K13" s="146">
        <f t="shared" si="3"/>
        <v>4.4965167827739037E-2</v>
      </c>
      <c r="L13" s="128">
        <f t="shared" si="0"/>
        <v>7.5091830272324189E-2</v>
      </c>
      <c r="M13" s="139" t="s">
        <v>104</v>
      </c>
      <c r="N13" s="63">
        <f>'DONNÉES STATCAN'!K53</f>
        <v>179.9</v>
      </c>
      <c r="O13" s="146">
        <f t="shared" si="1"/>
        <v>3.7365421152628288E-2</v>
      </c>
      <c r="P13" s="126">
        <f t="shared" si="5"/>
        <v>6.2400253324889236E-2</v>
      </c>
    </row>
    <row r="14" spans="1:16" ht="34.5" customHeight="1" thickTop="1" x14ac:dyDescent="0.2">
      <c r="A14" s="220" t="s">
        <v>62</v>
      </c>
      <c r="B14" s="221"/>
      <c r="C14" s="116"/>
      <c r="D14" s="185"/>
      <c r="E14" s="183"/>
      <c r="F14" s="206">
        <v>2.6429362972412118</v>
      </c>
      <c r="G14" s="207"/>
      <c r="H14" s="208"/>
      <c r="I14" s="118"/>
      <c r="J14" s="206">
        <f>SUM(L4:L13)</f>
        <v>3.3581369919818753</v>
      </c>
      <c r="K14" s="207"/>
      <c r="L14" s="208"/>
      <c r="M14" s="118"/>
      <c r="N14" s="206">
        <f>SUM(P4:P13)</f>
        <v>1.271291281943786</v>
      </c>
      <c r="O14" s="207"/>
      <c r="P14" s="208"/>
    </row>
    <row r="15" spans="1:16" ht="34.5" customHeight="1" thickBot="1" x14ac:dyDescent="0.25">
      <c r="A15" s="216" t="s">
        <v>63</v>
      </c>
      <c r="B15" s="217"/>
      <c r="C15" s="134"/>
      <c r="D15" s="95">
        <v>100</v>
      </c>
      <c r="E15" s="184"/>
      <c r="F15" s="209">
        <v>102.64293629724121</v>
      </c>
      <c r="G15" s="210"/>
      <c r="H15" s="211"/>
      <c r="I15" s="117"/>
      <c r="J15" s="209">
        <f>D15+J14+F14</f>
        <v>106.00107328922309</v>
      </c>
      <c r="K15" s="210"/>
      <c r="L15" s="211"/>
      <c r="M15" s="117"/>
      <c r="N15" s="209">
        <f>J15+N14</f>
        <v>107.27236457116688</v>
      </c>
      <c r="O15" s="210"/>
      <c r="P15" s="211"/>
    </row>
    <row r="16" spans="1:16" ht="13.5" thickTop="1" x14ac:dyDescent="0.2"/>
    <row r="20" spans="1:8" ht="14.25" customHeight="1" x14ac:dyDescent="0.2">
      <c r="B20"/>
      <c r="C20"/>
      <c r="D20" s="55"/>
      <c r="E20" s="55"/>
      <c r="F20" s="55"/>
      <c r="G20" s="55"/>
      <c r="H20" s="55"/>
    </row>
    <row r="21" spans="1:8" ht="14.25" customHeight="1" x14ac:dyDescent="0.2">
      <c r="B21"/>
      <c r="C21"/>
      <c r="D21" s="55"/>
      <c r="E21" s="55"/>
      <c r="F21" s="55"/>
      <c r="G21" s="55"/>
      <c r="H21" s="55"/>
    </row>
    <row r="22" spans="1:8" ht="14.25" customHeight="1" x14ac:dyDescent="0.2">
      <c r="A22" s="54"/>
      <c r="B22"/>
      <c r="C22"/>
      <c r="D22" s="55"/>
      <c r="E22" s="55"/>
      <c r="F22" s="55"/>
      <c r="G22" s="55"/>
      <c r="H22" s="55"/>
    </row>
    <row r="23" spans="1:8" ht="14.25" customHeight="1" x14ac:dyDescent="0.2">
      <c r="B23"/>
      <c r="C23"/>
      <c r="D23" s="55"/>
      <c r="E23" s="55"/>
      <c r="F23" s="55"/>
      <c r="G23" s="55"/>
      <c r="H23" s="55"/>
    </row>
    <row r="24" spans="1:8" ht="14.25" customHeight="1" x14ac:dyDescent="0.2">
      <c r="B24"/>
      <c r="C24"/>
      <c r="D24" s="55"/>
      <c r="E24" s="55"/>
      <c r="F24" s="55"/>
      <c r="G24" s="55"/>
      <c r="H24" s="55"/>
    </row>
    <row r="25" spans="1:8" ht="14.25" customHeight="1" x14ac:dyDescent="0.2">
      <c r="B25"/>
      <c r="C25"/>
    </row>
    <row r="26" spans="1:8" ht="14.25" customHeight="1" x14ac:dyDescent="0.2">
      <c r="A26" s="54"/>
      <c r="B26"/>
      <c r="C26"/>
    </row>
    <row r="27" spans="1:8" ht="14.25" customHeight="1" x14ac:dyDescent="0.2">
      <c r="B27"/>
      <c r="C27"/>
      <c r="D27" s="56"/>
      <c r="E27" s="56"/>
      <c r="F27" s="56"/>
      <c r="G27" s="56"/>
      <c r="H27" s="56"/>
    </row>
    <row r="28" spans="1:8" ht="14.25" customHeight="1" x14ac:dyDescent="0.2">
      <c r="B28"/>
      <c r="C28"/>
      <c r="D28" s="56"/>
      <c r="E28" s="56"/>
      <c r="F28" s="56"/>
      <c r="G28" s="56"/>
      <c r="H28" s="56"/>
    </row>
  </sheetData>
  <mergeCells count="14">
    <mergeCell ref="M2:P2"/>
    <mergeCell ref="N14:P14"/>
    <mergeCell ref="N15:P15"/>
    <mergeCell ref="A2:B2"/>
    <mergeCell ref="I2:L2"/>
    <mergeCell ref="A15:B15"/>
    <mergeCell ref="J15:L15"/>
    <mergeCell ref="B7:B8"/>
    <mergeCell ref="A14:B14"/>
    <mergeCell ref="J14:L14"/>
    <mergeCell ref="E2:H2"/>
    <mergeCell ref="F14:H14"/>
    <mergeCell ref="F15:H15"/>
    <mergeCell ref="A1:P1"/>
  </mergeCells>
  <printOptions horizontalCentered="1" verticalCentered="1"/>
  <pageMargins left="3.937007874015748E-2" right="3.937007874015748E-2" top="0.31496062992125984" bottom="0.31496062992125984" header="7.874015748031496E-2" footer="0.11811023622047245"/>
  <pageSetup paperSize="5" scale="74" orientation="landscape" r:id="rId1"/>
  <headerFooter>
    <oddFooter>&amp;L&amp;"-,Normal"&amp;8&amp;D&amp;R&amp;"-,Normal"&amp;8Commission des transports du Québec</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4"/>
  <sheetViews>
    <sheetView zoomScaleNormal="100" workbookViewId="0">
      <pane ySplit="13" topLeftCell="A24" activePane="bottomLeft" state="frozen"/>
      <selection pane="bottomLeft" activeCell="H53" sqref="H53"/>
    </sheetView>
  </sheetViews>
  <sheetFormatPr baseColWidth="10" defaultColWidth="11.28515625" defaultRowHeight="12.75" x14ac:dyDescent="0.2"/>
  <cols>
    <col min="1" max="1" width="11.28515625" style="2"/>
    <col min="2" max="11" width="18.5703125" style="2" customWidth="1"/>
    <col min="12" max="12" width="16.7109375" style="2" customWidth="1"/>
    <col min="13" max="16384" width="11.28515625" style="2"/>
  </cols>
  <sheetData>
    <row r="1" spans="1:13" s="45" customFormat="1" ht="19.5" customHeight="1" x14ac:dyDescent="0.35">
      <c r="A1" s="227" t="s">
        <v>35</v>
      </c>
      <c r="B1" s="227"/>
      <c r="C1" s="227"/>
      <c r="D1" s="227"/>
      <c r="E1" s="227"/>
      <c r="F1" s="227"/>
      <c r="G1" s="227"/>
      <c r="H1" s="227"/>
      <c r="I1" s="227"/>
      <c r="J1" s="227"/>
      <c r="K1" s="227"/>
      <c r="L1" s="48"/>
      <c r="M1" s="48"/>
    </row>
    <row r="2" spans="1:13" ht="5.25" customHeight="1" thickBot="1" x14ac:dyDescent="0.25"/>
    <row r="3" spans="1:13" ht="13.5" thickTop="1" x14ac:dyDescent="0.2">
      <c r="A3" s="14"/>
      <c r="B3" s="4" t="s">
        <v>67</v>
      </c>
      <c r="C3" s="5"/>
      <c r="D3" s="6"/>
    </row>
    <row r="4" spans="1:13" ht="13.5" customHeight="1" x14ac:dyDescent="0.2">
      <c r="A4" s="14"/>
      <c r="B4" s="7" t="s">
        <v>68</v>
      </c>
      <c r="D4" s="8"/>
    </row>
    <row r="5" spans="1:13" x14ac:dyDescent="0.2">
      <c r="A5" s="14"/>
      <c r="B5" s="7" t="s">
        <v>34</v>
      </c>
      <c r="D5" s="8"/>
    </row>
    <row r="6" spans="1:13" x14ac:dyDescent="0.2">
      <c r="A6" s="14"/>
      <c r="B6" s="9" t="s">
        <v>37</v>
      </c>
      <c r="D6" s="8"/>
    </row>
    <row r="7" spans="1:13" ht="13.5" thickBot="1" x14ac:dyDescent="0.25">
      <c r="A7" s="14"/>
      <c r="B7" s="7" t="s">
        <v>30</v>
      </c>
      <c r="D7" s="8"/>
    </row>
    <row r="8" spans="1:13" ht="13.5" thickTop="1" x14ac:dyDescent="0.2">
      <c r="A8" s="14"/>
      <c r="B8" s="7" t="s">
        <v>3</v>
      </c>
      <c r="D8" s="8"/>
      <c r="E8" s="4" t="s">
        <v>65</v>
      </c>
      <c r="F8" s="5"/>
      <c r="G8" s="5"/>
      <c r="H8" s="5"/>
      <c r="I8" s="5"/>
      <c r="J8" s="5"/>
      <c r="K8" s="6"/>
    </row>
    <row r="9" spans="1:13" x14ac:dyDescent="0.2">
      <c r="A9" s="14"/>
      <c r="B9" s="7" t="s">
        <v>4</v>
      </c>
      <c r="D9" s="8"/>
      <c r="E9" s="7" t="s">
        <v>64</v>
      </c>
      <c r="K9" s="8"/>
    </row>
    <row r="10" spans="1:13" x14ac:dyDescent="0.2">
      <c r="A10" s="14"/>
      <c r="B10" s="9"/>
      <c r="D10" s="8"/>
      <c r="E10" s="9" t="s">
        <v>38</v>
      </c>
      <c r="K10" s="8"/>
    </row>
    <row r="11" spans="1:13" s="20" customFormat="1" ht="101.25" customHeight="1" thickBot="1" x14ac:dyDescent="0.25">
      <c r="A11" s="14"/>
      <c r="B11" s="228" t="s">
        <v>78</v>
      </c>
      <c r="C11" s="229"/>
      <c r="D11" s="230"/>
      <c r="E11" s="237" t="s">
        <v>1</v>
      </c>
      <c r="F11" s="238"/>
      <c r="G11" s="238"/>
      <c r="H11" s="238"/>
      <c r="I11" s="238"/>
      <c r="J11" s="238"/>
      <c r="K11" s="239"/>
      <c r="L11" s="51"/>
    </row>
    <row r="12" spans="1:13" s="20" customFormat="1" ht="15" customHeight="1" thickTop="1" x14ac:dyDescent="0.2">
      <c r="A12" s="14"/>
      <c r="B12" s="235" t="s">
        <v>32</v>
      </c>
      <c r="C12" s="231" t="s">
        <v>31</v>
      </c>
      <c r="D12" s="232"/>
      <c r="E12" s="233" t="s">
        <v>33</v>
      </c>
      <c r="F12" s="233"/>
      <c r="G12" s="233"/>
      <c r="H12" s="233"/>
      <c r="I12" s="233"/>
      <c r="J12" s="233"/>
      <c r="K12" s="234"/>
    </row>
    <row r="13" spans="1:13" s="10" customFormat="1" ht="42" customHeight="1" thickBot="1" x14ac:dyDescent="0.25">
      <c r="A13" s="14"/>
      <c r="B13" s="236"/>
      <c r="C13" s="46" t="s">
        <v>5</v>
      </c>
      <c r="D13" s="47" t="s">
        <v>28</v>
      </c>
      <c r="E13" s="3" t="s">
        <v>47</v>
      </c>
      <c r="F13" s="3" t="s">
        <v>29</v>
      </c>
      <c r="G13" s="3" t="s">
        <v>40</v>
      </c>
      <c r="H13" s="46" t="s">
        <v>41</v>
      </c>
      <c r="I13" s="3" t="s">
        <v>42</v>
      </c>
      <c r="J13" s="46" t="s">
        <v>6</v>
      </c>
      <c r="K13" s="47" t="s">
        <v>7</v>
      </c>
    </row>
    <row r="14" spans="1:13" s="15" customFormat="1" ht="14.25" thickTop="1" thickBot="1" x14ac:dyDescent="0.25">
      <c r="A14" s="144"/>
      <c r="B14" s="114" t="s">
        <v>123</v>
      </c>
      <c r="C14" s="52">
        <v>1112.51</v>
      </c>
      <c r="D14" s="53">
        <v>1125.0016666666668</v>
      </c>
      <c r="E14" s="52">
        <v>121.9</v>
      </c>
      <c r="F14" s="52">
        <v>239.95833333333334</v>
      </c>
      <c r="G14" s="52">
        <v>169.6</v>
      </c>
      <c r="H14" s="52">
        <v>214.4</v>
      </c>
      <c r="I14" s="52">
        <v>121.7</v>
      </c>
      <c r="J14" s="52">
        <v>137.80000000000001</v>
      </c>
      <c r="K14" s="53">
        <v>157.9</v>
      </c>
    </row>
    <row r="15" spans="1:13" ht="13.5" thickTop="1" x14ac:dyDescent="0.2">
      <c r="A15" s="224" t="s">
        <v>140</v>
      </c>
      <c r="B15" s="64" t="s">
        <v>105</v>
      </c>
      <c r="C15" s="148">
        <v>1114.05</v>
      </c>
      <c r="D15" s="149">
        <v>1151.27</v>
      </c>
      <c r="E15" s="155">
        <v>122.6</v>
      </c>
      <c r="F15" s="156">
        <v>224.8</v>
      </c>
      <c r="G15" s="156">
        <v>169.6</v>
      </c>
      <c r="H15" s="156">
        <v>214.4</v>
      </c>
      <c r="I15" s="156">
        <v>121.7</v>
      </c>
      <c r="J15" s="156">
        <v>138.1</v>
      </c>
      <c r="K15" s="157">
        <v>158.4</v>
      </c>
    </row>
    <row r="16" spans="1:13" x14ac:dyDescent="0.2">
      <c r="A16" s="225"/>
      <c r="B16" s="49" t="s">
        <v>106</v>
      </c>
      <c r="C16" s="150">
        <v>1121.69</v>
      </c>
      <c r="D16" s="151">
        <v>1149</v>
      </c>
      <c r="E16" s="158">
        <v>122.7</v>
      </c>
      <c r="F16" s="159">
        <v>237.7</v>
      </c>
      <c r="G16" s="159">
        <v>171.7</v>
      </c>
      <c r="H16" s="159">
        <v>212.2</v>
      </c>
      <c r="I16" s="159">
        <v>121.7</v>
      </c>
      <c r="J16" s="159">
        <v>138.4</v>
      </c>
      <c r="K16" s="160">
        <v>158.6</v>
      </c>
    </row>
    <row r="17" spans="1:11" x14ac:dyDescent="0.2">
      <c r="A17" s="225"/>
      <c r="B17" s="49" t="s">
        <v>107</v>
      </c>
      <c r="C17" s="150">
        <v>1131.1500000000001</v>
      </c>
      <c r="D17" s="151">
        <v>1162.7</v>
      </c>
      <c r="E17" s="158">
        <v>122.9</v>
      </c>
      <c r="F17" s="159">
        <v>241.8</v>
      </c>
      <c r="G17" s="159">
        <v>171.7</v>
      </c>
      <c r="H17" s="159">
        <v>212.2</v>
      </c>
      <c r="I17" s="159">
        <v>121.7</v>
      </c>
      <c r="J17" s="159">
        <v>138.9</v>
      </c>
      <c r="K17" s="160">
        <v>159.19999999999999</v>
      </c>
    </row>
    <row r="18" spans="1:11" x14ac:dyDescent="0.2">
      <c r="A18" s="225"/>
      <c r="B18" s="49" t="s">
        <v>108</v>
      </c>
      <c r="C18" s="150">
        <v>1135.81</v>
      </c>
      <c r="D18" s="151">
        <v>1227.25</v>
      </c>
      <c r="E18" s="158">
        <v>122.9</v>
      </c>
      <c r="F18" s="159">
        <v>211.2</v>
      </c>
      <c r="G18" s="159">
        <v>171.7</v>
      </c>
      <c r="H18" s="159">
        <v>214.4</v>
      </c>
      <c r="I18" s="159">
        <v>121.7</v>
      </c>
      <c r="J18" s="159">
        <v>138.69999999999999</v>
      </c>
      <c r="K18" s="160">
        <v>159.9</v>
      </c>
    </row>
    <row r="19" spans="1:11" x14ac:dyDescent="0.2">
      <c r="A19" s="225"/>
      <c r="B19" s="49" t="s">
        <v>109</v>
      </c>
      <c r="C19" s="150">
        <v>1144.6600000000001</v>
      </c>
      <c r="D19" s="151">
        <v>1161.05</v>
      </c>
      <c r="E19" s="158">
        <v>122.9</v>
      </c>
      <c r="F19" s="159">
        <v>221.1</v>
      </c>
      <c r="G19" s="159">
        <v>177.5</v>
      </c>
      <c r="H19" s="159">
        <v>213.3</v>
      </c>
      <c r="I19" s="159">
        <v>127.4</v>
      </c>
      <c r="J19" s="159">
        <v>138.9</v>
      </c>
      <c r="K19" s="160">
        <v>160.19999999999999</v>
      </c>
    </row>
    <row r="20" spans="1:11" x14ac:dyDescent="0.2">
      <c r="A20" s="225"/>
      <c r="B20" s="49" t="s">
        <v>110</v>
      </c>
      <c r="C20" s="150">
        <v>1146.54</v>
      </c>
      <c r="D20" s="151">
        <v>1158.22</v>
      </c>
      <c r="E20" s="158">
        <v>122.7</v>
      </c>
      <c r="F20" s="159">
        <v>218.4</v>
      </c>
      <c r="G20" s="159">
        <v>177.5</v>
      </c>
      <c r="H20" s="159">
        <v>212.1</v>
      </c>
      <c r="I20" s="159">
        <v>127.4</v>
      </c>
      <c r="J20" s="159">
        <v>139.69999999999999</v>
      </c>
      <c r="K20" s="160">
        <v>160.9</v>
      </c>
    </row>
    <row r="21" spans="1:11" x14ac:dyDescent="0.2">
      <c r="A21" s="225"/>
      <c r="B21" s="50" t="s">
        <v>111</v>
      </c>
      <c r="C21" s="152">
        <v>1138.31</v>
      </c>
      <c r="D21" s="153">
        <v>1185.08</v>
      </c>
      <c r="E21" s="161">
        <v>123.7</v>
      </c>
      <c r="F21" s="159">
        <v>219.5</v>
      </c>
      <c r="G21" s="162">
        <v>177.5</v>
      </c>
      <c r="H21" s="162">
        <v>212.3</v>
      </c>
      <c r="I21" s="162">
        <v>127.4</v>
      </c>
      <c r="J21" s="162">
        <v>140.4</v>
      </c>
      <c r="K21" s="163">
        <v>161.30000000000001</v>
      </c>
    </row>
    <row r="22" spans="1:11" x14ac:dyDescent="0.2">
      <c r="A22" s="225"/>
      <c r="B22" s="50" t="s">
        <v>112</v>
      </c>
      <c r="C22" s="152">
        <v>1145.1300000000001</v>
      </c>
      <c r="D22" s="153">
        <v>1193.1400000000001</v>
      </c>
      <c r="E22" s="161">
        <v>123.5</v>
      </c>
      <c r="F22" s="164">
        <v>231.3</v>
      </c>
      <c r="G22" s="162">
        <v>177.3</v>
      </c>
      <c r="H22" s="162">
        <v>212.3</v>
      </c>
      <c r="I22" s="162">
        <v>127.4</v>
      </c>
      <c r="J22" s="162">
        <v>141.19999999999999</v>
      </c>
      <c r="K22" s="163">
        <v>162.5</v>
      </c>
    </row>
    <row r="23" spans="1:11" x14ac:dyDescent="0.2">
      <c r="A23" s="225"/>
      <c r="B23" s="19" t="s">
        <v>113</v>
      </c>
      <c r="C23" s="152">
        <v>1154.22</v>
      </c>
      <c r="D23" s="153">
        <v>1142.42</v>
      </c>
      <c r="E23" s="165">
        <v>123.6</v>
      </c>
      <c r="F23" s="166">
        <v>232.3</v>
      </c>
      <c r="G23" s="166">
        <v>177.3</v>
      </c>
      <c r="H23" s="166">
        <v>212.8</v>
      </c>
      <c r="I23" s="166">
        <v>127.4</v>
      </c>
      <c r="J23" s="166">
        <v>142.19999999999999</v>
      </c>
      <c r="K23" s="167">
        <v>164.1</v>
      </c>
    </row>
    <row r="24" spans="1:11" x14ac:dyDescent="0.2">
      <c r="A24" s="225"/>
      <c r="B24" s="19" t="s">
        <v>114</v>
      </c>
      <c r="C24" s="152">
        <v>1148.47</v>
      </c>
      <c r="D24" s="153">
        <v>1090.76</v>
      </c>
      <c r="E24" s="165">
        <v>124.4</v>
      </c>
      <c r="F24" s="166">
        <v>237.5</v>
      </c>
      <c r="G24" s="166">
        <v>177.3</v>
      </c>
      <c r="H24" s="166">
        <v>213.7</v>
      </c>
      <c r="I24" s="166">
        <v>127.4</v>
      </c>
      <c r="J24" s="166">
        <v>142.6</v>
      </c>
      <c r="K24" s="167">
        <v>164.9</v>
      </c>
    </row>
    <row r="25" spans="1:11" x14ac:dyDescent="0.2">
      <c r="A25" s="225"/>
      <c r="B25" s="19" t="s">
        <v>115</v>
      </c>
      <c r="C25" s="152">
        <v>1148.3800000000001</v>
      </c>
      <c r="D25" s="153">
        <v>1105.1300000000001</v>
      </c>
      <c r="E25" s="165">
        <v>124.8</v>
      </c>
      <c r="F25" s="166">
        <v>238.3</v>
      </c>
      <c r="G25" s="166">
        <v>179.9</v>
      </c>
      <c r="H25" s="166">
        <v>214.8</v>
      </c>
      <c r="I25" s="166">
        <v>127.4</v>
      </c>
      <c r="J25" s="166">
        <v>142.9</v>
      </c>
      <c r="K25" s="167">
        <v>166</v>
      </c>
    </row>
    <row r="26" spans="1:11" ht="13.5" thickBot="1" x14ac:dyDescent="0.25">
      <c r="A26" s="225"/>
      <c r="B26" s="19" t="s">
        <v>116</v>
      </c>
      <c r="C26" s="154">
        <v>1164.07</v>
      </c>
      <c r="D26" s="179">
        <v>1201.21</v>
      </c>
      <c r="E26" s="168">
        <v>124.5</v>
      </c>
      <c r="F26" s="169">
        <v>251.5</v>
      </c>
      <c r="G26" s="169">
        <v>179.9</v>
      </c>
      <c r="H26" s="169">
        <v>221.9</v>
      </c>
      <c r="I26" s="169">
        <v>127.4</v>
      </c>
      <c r="J26" s="169">
        <v>143.69999999999999</v>
      </c>
      <c r="K26" s="170">
        <v>166.9</v>
      </c>
    </row>
    <row r="27" spans="1:11" ht="14.25" thickTop="1" thickBot="1" x14ac:dyDescent="0.25">
      <c r="A27" s="226"/>
      <c r="B27" s="180" t="s">
        <v>140</v>
      </c>
      <c r="C27" s="52">
        <f>LOOKUP(2,1/(C15:C26&lt;&gt;""),C15:C26)</f>
        <v>1164.07</v>
      </c>
      <c r="D27" s="53">
        <f>AVERAGE(D15:D26)</f>
        <v>1160.6025</v>
      </c>
      <c r="E27" s="52">
        <f>LOOKUP(2,1/(E15:E26&lt;&gt;""),E15:E26)</f>
        <v>124.5</v>
      </c>
      <c r="F27" s="52">
        <f>AVERAGE(F15:F26)</f>
        <v>230.45000000000002</v>
      </c>
      <c r="G27" s="52">
        <f>LOOKUP(2,1/(G15:G26&lt;&gt;""),G15:G26)</f>
        <v>179.9</v>
      </c>
      <c r="H27" s="52">
        <f>LOOKUP(2,1/(H15:H26&lt;&gt;""),H15:H26)</f>
        <v>221.9</v>
      </c>
      <c r="I27" s="52">
        <f>LOOKUP(2,1/(I15:I26&lt;&gt;""),I15:I26)</f>
        <v>127.4</v>
      </c>
      <c r="J27" s="52">
        <f>LOOKUP(2,1/(J15:J26&lt;&gt;""),J15:J26)</f>
        <v>143.69999999999999</v>
      </c>
      <c r="K27" s="53">
        <f>LOOKUP(2,1/(K15:K26&lt;&gt;""),K15:K26)</f>
        <v>166.9</v>
      </c>
    </row>
    <row r="28" spans="1:11" ht="13.5" thickTop="1" x14ac:dyDescent="0.2">
      <c r="A28" s="224" t="s">
        <v>141</v>
      </c>
      <c r="B28" s="64" t="s">
        <v>136</v>
      </c>
      <c r="C28" s="148">
        <v>1148.22</v>
      </c>
      <c r="D28" s="149">
        <v>1193.3900000000001</v>
      </c>
      <c r="E28" s="155">
        <v>124.3</v>
      </c>
      <c r="F28" s="156">
        <v>249.5</v>
      </c>
      <c r="G28" s="156">
        <v>179.9</v>
      </c>
      <c r="H28" s="156">
        <v>221.9</v>
      </c>
      <c r="I28" s="156">
        <v>127.4</v>
      </c>
      <c r="J28" s="156">
        <v>143.69999999999999</v>
      </c>
      <c r="K28" s="157">
        <v>166.7</v>
      </c>
    </row>
    <row r="29" spans="1:11" x14ac:dyDescent="0.2">
      <c r="A29" s="225"/>
      <c r="B29" s="49" t="s">
        <v>137</v>
      </c>
      <c r="C29" s="150">
        <v>1153.71</v>
      </c>
      <c r="D29" s="151">
        <v>1176.29</v>
      </c>
      <c r="E29" s="158">
        <v>124.5</v>
      </c>
      <c r="F29" s="159">
        <v>234.3</v>
      </c>
      <c r="G29" s="159">
        <v>181.6</v>
      </c>
      <c r="H29" s="159">
        <v>223.5</v>
      </c>
      <c r="I29" s="159">
        <v>127.4</v>
      </c>
      <c r="J29" s="159">
        <v>144.30000000000001</v>
      </c>
      <c r="K29" s="160">
        <v>167.9</v>
      </c>
    </row>
    <row r="30" spans="1:11" x14ac:dyDescent="0.2">
      <c r="A30" s="225"/>
      <c r="B30" s="49" t="s">
        <v>138</v>
      </c>
      <c r="C30" s="150">
        <v>1159.75</v>
      </c>
      <c r="D30" s="151">
        <v>1163.07</v>
      </c>
      <c r="E30" s="158">
        <v>124.6</v>
      </c>
      <c r="F30" s="159">
        <v>225.2</v>
      </c>
      <c r="G30" s="159">
        <v>181.6</v>
      </c>
      <c r="H30" s="159">
        <v>225.1</v>
      </c>
      <c r="I30" s="159">
        <v>127.4</v>
      </c>
      <c r="J30" s="159">
        <v>144.6</v>
      </c>
      <c r="K30" s="160">
        <v>168.1</v>
      </c>
    </row>
    <row r="31" spans="1:11" x14ac:dyDescent="0.2">
      <c r="A31" s="225"/>
      <c r="B31" s="49" t="s">
        <v>139</v>
      </c>
      <c r="C31" s="150">
        <v>1166.8499999999999</v>
      </c>
      <c r="D31" s="151">
        <v>1235.44</v>
      </c>
      <c r="E31" s="158">
        <v>125.6</v>
      </c>
      <c r="F31" s="159">
        <v>218.8</v>
      </c>
      <c r="G31" s="159">
        <v>181.6</v>
      </c>
      <c r="H31" s="159">
        <v>232.3</v>
      </c>
      <c r="I31" s="159">
        <v>127.4</v>
      </c>
      <c r="J31" s="159">
        <v>144</v>
      </c>
      <c r="K31" s="160">
        <v>168.3</v>
      </c>
    </row>
    <row r="32" spans="1:11" x14ac:dyDescent="0.2">
      <c r="A32" s="225"/>
      <c r="B32" s="49" t="s">
        <v>128</v>
      </c>
      <c r="C32" s="150">
        <v>1177.78</v>
      </c>
      <c r="D32" s="151">
        <v>1213.99</v>
      </c>
      <c r="E32" s="158">
        <v>125.4</v>
      </c>
      <c r="F32" s="159">
        <v>218.3</v>
      </c>
      <c r="G32" s="159">
        <v>185</v>
      </c>
      <c r="H32" s="159">
        <v>233.2</v>
      </c>
      <c r="I32" s="159">
        <v>130.6</v>
      </c>
      <c r="J32" s="159">
        <v>143.69999999999999</v>
      </c>
      <c r="K32" s="160">
        <v>168.6</v>
      </c>
    </row>
    <row r="33" spans="1:11" x14ac:dyDescent="0.2">
      <c r="A33" s="225"/>
      <c r="B33" s="49" t="s">
        <v>129</v>
      </c>
      <c r="C33" s="150">
        <v>1177.93</v>
      </c>
      <c r="D33" s="151">
        <v>1176.25</v>
      </c>
      <c r="E33" s="158">
        <v>124.2</v>
      </c>
      <c r="F33" s="159">
        <v>223.6</v>
      </c>
      <c r="G33" s="159">
        <v>185</v>
      </c>
      <c r="H33" s="159">
        <v>232.9</v>
      </c>
      <c r="I33" s="159">
        <v>130.6</v>
      </c>
      <c r="J33" s="159">
        <v>144.4</v>
      </c>
      <c r="K33" s="160">
        <v>169.3</v>
      </c>
    </row>
    <row r="34" spans="1:11" x14ac:dyDescent="0.2">
      <c r="A34" s="225"/>
      <c r="B34" s="50" t="s">
        <v>130</v>
      </c>
      <c r="C34" s="152">
        <v>1187.33</v>
      </c>
      <c r="D34" s="153">
        <v>1203.3499999999999</v>
      </c>
      <c r="E34" s="161">
        <v>124.2</v>
      </c>
      <c r="F34" s="159">
        <v>225.9</v>
      </c>
      <c r="G34" s="162">
        <v>185</v>
      </c>
      <c r="H34" s="162">
        <v>235.2</v>
      </c>
      <c r="I34" s="162">
        <v>130.6</v>
      </c>
      <c r="J34" s="162">
        <v>145.80000000000001</v>
      </c>
      <c r="K34" s="163">
        <v>170.7</v>
      </c>
    </row>
    <row r="35" spans="1:11" x14ac:dyDescent="0.2">
      <c r="A35" s="225"/>
      <c r="B35" s="50" t="s">
        <v>131</v>
      </c>
      <c r="C35" s="152">
        <v>1191.96</v>
      </c>
      <c r="D35" s="153">
        <v>1204.24</v>
      </c>
      <c r="E35" s="161">
        <v>124</v>
      </c>
      <c r="F35" s="164">
        <v>243.2</v>
      </c>
      <c r="G35" s="162">
        <v>185</v>
      </c>
      <c r="H35" s="162">
        <v>235</v>
      </c>
      <c r="I35" s="162">
        <v>130.6</v>
      </c>
      <c r="J35" s="162">
        <v>145.6</v>
      </c>
      <c r="K35" s="163">
        <v>170.7</v>
      </c>
    </row>
    <row r="36" spans="1:11" x14ac:dyDescent="0.2">
      <c r="A36" s="225"/>
      <c r="B36" s="19" t="s">
        <v>132</v>
      </c>
      <c r="C36" s="152">
        <v>1205.43</v>
      </c>
      <c r="D36" s="153">
        <v>1224.1099999999999</v>
      </c>
      <c r="E36" s="165">
        <v>124.5</v>
      </c>
      <c r="F36" s="166">
        <v>243</v>
      </c>
      <c r="G36" s="166">
        <v>185</v>
      </c>
      <c r="H36" s="166">
        <v>236.2</v>
      </c>
      <c r="I36" s="166">
        <v>130.6</v>
      </c>
      <c r="J36" s="166">
        <v>146.69999999999999</v>
      </c>
      <c r="K36" s="167">
        <v>172.5</v>
      </c>
    </row>
    <row r="37" spans="1:11" x14ac:dyDescent="0.2">
      <c r="A37" s="225"/>
      <c r="B37" s="19" t="s">
        <v>133</v>
      </c>
      <c r="C37" s="152">
        <v>1206.22</v>
      </c>
      <c r="D37" s="153">
        <v>1227.8699999999999</v>
      </c>
      <c r="E37" s="165">
        <v>124</v>
      </c>
      <c r="F37" s="166">
        <v>233.3</v>
      </c>
      <c r="G37" s="166">
        <v>185</v>
      </c>
      <c r="H37" s="166">
        <v>238.1</v>
      </c>
      <c r="I37" s="166">
        <v>130.6</v>
      </c>
      <c r="J37" s="166">
        <v>146.4</v>
      </c>
      <c r="K37" s="167">
        <v>172.9</v>
      </c>
    </row>
    <row r="38" spans="1:11" x14ac:dyDescent="0.2">
      <c r="A38" s="225"/>
      <c r="B38" s="19" t="s">
        <v>134</v>
      </c>
      <c r="C38" s="152">
        <v>1223.6199999999999</v>
      </c>
      <c r="D38" s="153">
        <v>1206.6400000000001</v>
      </c>
      <c r="E38" s="165">
        <v>123.2</v>
      </c>
      <c r="F38" s="166">
        <v>238.9</v>
      </c>
      <c r="G38" s="166">
        <v>185.8</v>
      </c>
      <c r="H38" s="166">
        <v>237.9</v>
      </c>
      <c r="I38" s="166">
        <v>130.6</v>
      </c>
      <c r="J38" s="166">
        <v>146.5</v>
      </c>
      <c r="K38" s="167">
        <v>173.9</v>
      </c>
    </row>
    <row r="39" spans="1:11" ht="13.5" thickBot="1" x14ac:dyDescent="0.25">
      <c r="A39" s="225"/>
      <c r="B39" s="19" t="s">
        <v>135</v>
      </c>
      <c r="C39" s="154">
        <v>1224.77</v>
      </c>
      <c r="D39" s="179">
        <v>1232.3800000000001</v>
      </c>
      <c r="E39" s="168">
        <v>122.8</v>
      </c>
      <c r="F39" s="169">
        <v>231.1</v>
      </c>
      <c r="G39" s="169">
        <v>185.8</v>
      </c>
      <c r="H39" s="169">
        <v>236.7</v>
      </c>
      <c r="I39" s="169">
        <v>130.6</v>
      </c>
      <c r="J39" s="169">
        <v>146.6</v>
      </c>
      <c r="K39" s="170">
        <v>174</v>
      </c>
    </row>
    <row r="40" spans="1:11" ht="14.25" thickTop="1" thickBot="1" x14ac:dyDescent="0.25">
      <c r="A40" s="226"/>
      <c r="B40" s="180" t="s">
        <v>141</v>
      </c>
      <c r="C40" s="52">
        <f>LOOKUP(2,1/(C28:C39&lt;&gt;""),C28:C39)</f>
        <v>1224.77</v>
      </c>
      <c r="D40" s="53">
        <f>AVERAGE(D28:D34,D35:D39)</f>
        <v>1204.7516666666668</v>
      </c>
      <c r="E40" s="52">
        <f>LOOKUP(2,1/(E28:E39&lt;&gt;""),E28:E39)</f>
        <v>122.8</v>
      </c>
      <c r="F40" s="52">
        <f>AVERAGE(F20:F26,F28:F32)</f>
        <v>231.24166666666667</v>
      </c>
      <c r="G40" s="52">
        <f>LOOKUP(2,1/(G28:G39&lt;&gt;""),G28:G39)</f>
        <v>185.8</v>
      </c>
      <c r="H40" s="52">
        <f>LOOKUP(2,1/(H28:H39&lt;&gt;""),H28:H39)</f>
        <v>236.7</v>
      </c>
      <c r="I40" s="52">
        <f>LOOKUP(2,1/(I28:I39&lt;&gt;""),I28:I39)</f>
        <v>130.6</v>
      </c>
      <c r="J40" s="52">
        <f>LOOKUP(2,1/(J28:J39&lt;&gt;""),J28:J39)</f>
        <v>146.6</v>
      </c>
      <c r="K40" s="53">
        <f>LOOKUP(2,1/(K28:K39&lt;&gt;""),K28:K39)</f>
        <v>174</v>
      </c>
    </row>
    <row r="41" spans="1:11" ht="13.5" thickTop="1" x14ac:dyDescent="0.2">
      <c r="A41" s="224" t="s">
        <v>162</v>
      </c>
      <c r="B41" s="64" t="s">
        <v>171</v>
      </c>
      <c r="C41" s="148">
        <v>1217.5999999999999</v>
      </c>
      <c r="D41" s="149">
        <v>1246.76</v>
      </c>
      <c r="E41" s="155">
        <v>122.8</v>
      </c>
      <c r="F41" s="156">
        <v>214.3</v>
      </c>
      <c r="G41" s="156">
        <v>185.8</v>
      </c>
      <c r="H41" s="156">
        <v>238</v>
      </c>
      <c r="I41" s="156">
        <v>130.6</v>
      </c>
      <c r="J41" s="156">
        <v>146.9</v>
      </c>
      <c r="K41" s="157">
        <v>173.9</v>
      </c>
    </row>
    <row r="42" spans="1:11" x14ac:dyDescent="0.2">
      <c r="A42" s="225"/>
      <c r="B42" s="49" t="s">
        <v>172</v>
      </c>
      <c r="C42" s="150">
        <v>1219.02</v>
      </c>
      <c r="D42" s="151">
        <v>1211.19</v>
      </c>
      <c r="E42" s="158">
        <v>123.5</v>
      </c>
      <c r="F42" s="159">
        <v>212.4</v>
      </c>
      <c r="G42" s="159">
        <v>186.2</v>
      </c>
      <c r="H42" s="159">
        <v>234.4</v>
      </c>
      <c r="I42" s="159">
        <v>130.6</v>
      </c>
      <c r="J42" s="159">
        <v>147.80000000000001</v>
      </c>
      <c r="K42" s="160">
        <v>174.4</v>
      </c>
    </row>
    <row r="43" spans="1:11" x14ac:dyDescent="0.2">
      <c r="A43" s="225"/>
      <c r="B43" s="49" t="s">
        <v>173</v>
      </c>
      <c r="C43" s="150">
        <v>1208.69</v>
      </c>
      <c r="D43" s="151">
        <v>1199.1600000000001</v>
      </c>
      <c r="E43" s="158">
        <v>124.1</v>
      </c>
      <c r="F43" s="159">
        <v>215.1</v>
      </c>
      <c r="G43" s="159">
        <v>186.2</v>
      </c>
      <c r="H43" s="159">
        <v>237.4</v>
      </c>
      <c r="I43" s="159">
        <v>130.6</v>
      </c>
      <c r="J43" s="159">
        <v>147.19999999999999</v>
      </c>
      <c r="K43" s="160">
        <v>174.4</v>
      </c>
    </row>
    <row r="44" spans="1:11" x14ac:dyDescent="0.2">
      <c r="A44" s="225"/>
      <c r="B44" s="49" t="s">
        <v>174</v>
      </c>
      <c r="C44" s="150">
        <v>1213.45</v>
      </c>
      <c r="D44" s="151">
        <v>1269.67</v>
      </c>
      <c r="E44" s="158">
        <v>124.6</v>
      </c>
      <c r="F44" s="159">
        <v>214.8</v>
      </c>
      <c r="G44" s="159">
        <v>186.2</v>
      </c>
      <c r="H44" s="159">
        <v>238.3</v>
      </c>
      <c r="I44" s="159">
        <v>130.6</v>
      </c>
      <c r="J44" s="159">
        <v>147</v>
      </c>
      <c r="K44" s="160">
        <v>175</v>
      </c>
    </row>
    <row r="45" spans="1:11" x14ac:dyDescent="0.2">
      <c r="A45" s="225"/>
      <c r="B45" s="49" t="s">
        <v>163</v>
      </c>
      <c r="C45" s="150">
        <v>1224.02</v>
      </c>
      <c r="D45" s="151">
        <v>1252.7</v>
      </c>
      <c r="E45" s="158">
        <v>125.9</v>
      </c>
      <c r="F45" s="159">
        <v>221.2</v>
      </c>
      <c r="G45" s="159">
        <v>187.9</v>
      </c>
      <c r="H45" s="159">
        <v>236.9</v>
      </c>
      <c r="I45" s="159">
        <v>133.80000000000001</v>
      </c>
      <c r="J45" s="159">
        <v>146.9</v>
      </c>
      <c r="K45" s="160">
        <v>173.7</v>
      </c>
    </row>
    <row r="46" spans="1:11" x14ac:dyDescent="0.2">
      <c r="A46" s="225"/>
      <c r="B46" s="49" t="s">
        <v>164</v>
      </c>
      <c r="C46" s="150">
        <v>1221.31</v>
      </c>
      <c r="D46" s="151">
        <v>1228.01</v>
      </c>
      <c r="E46" s="158">
        <v>126.2</v>
      </c>
      <c r="F46" s="159">
        <v>218.9</v>
      </c>
      <c r="G46" s="159">
        <v>187.9</v>
      </c>
      <c r="H46" s="159">
        <v>233.5</v>
      </c>
      <c r="I46" s="159">
        <v>133.80000000000001</v>
      </c>
      <c r="J46" s="159">
        <v>147.80000000000001</v>
      </c>
      <c r="K46" s="160">
        <v>175</v>
      </c>
    </row>
    <row r="47" spans="1:11" x14ac:dyDescent="0.2">
      <c r="A47" s="225"/>
      <c r="B47" s="50" t="s">
        <v>165</v>
      </c>
      <c r="C47" s="152" t="s">
        <v>221</v>
      </c>
      <c r="D47" s="153">
        <v>1174.1600000000001</v>
      </c>
      <c r="E47" s="161">
        <v>126.3</v>
      </c>
      <c r="F47" s="159">
        <v>214</v>
      </c>
      <c r="G47" s="162">
        <v>187.9</v>
      </c>
      <c r="H47" s="162">
        <v>230.3</v>
      </c>
      <c r="I47" s="159">
        <v>133.80000000000001</v>
      </c>
      <c r="J47" s="162">
        <v>148.69999999999999</v>
      </c>
      <c r="K47" s="163">
        <v>176.3</v>
      </c>
    </row>
    <row r="48" spans="1:11" x14ac:dyDescent="0.2">
      <c r="A48" s="225"/>
      <c r="B48" s="50" t="s">
        <v>166</v>
      </c>
      <c r="C48" s="152">
        <v>1225.17</v>
      </c>
      <c r="D48" s="153">
        <v>1188.8</v>
      </c>
      <c r="E48" s="161">
        <v>127.6</v>
      </c>
      <c r="F48" s="164">
        <v>213.7</v>
      </c>
      <c r="G48" s="162">
        <v>191.1</v>
      </c>
      <c r="H48" s="162">
        <v>228.7</v>
      </c>
      <c r="I48" s="159">
        <v>133.80000000000001</v>
      </c>
      <c r="J48" s="162">
        <v>149.5</v>
      </c>
      <c r="K48" s="163">
        <v>177.7</v>
      </c>
    </row>
    <row r="49" spans="1:11" x14ac:dyDescent="0.2">
      <c r="A49" s="225"/>
      <c r="B49" s="19" t="s">
        <v>167</v>
      </c>
      <c r="C49" s="152">
        <v>1239.3800000000001</v>
      </c>
      <c r="D49" s="153">
        <v>1200.8499999999999</v>
      </c>
      <c r="E49" s="165">
        <v>129</v>
      </c>
      <c r="F49" s="166">
        <v>214.8</v>
      </c>
      <c r="G49" s="166">
        <v>191.1</v>
      </c>
      <c r="H49" s="166">
        <v>227.5</v>
      </c>
      <c r="I49" s="159">
        <v>133.80000000000001</v>
      </c>
      <c r="J49" s="166">
        <v>149.9</v>
      </c>
      <c r="K49" s="167">
        <v>177.7</v>
      </c>
    </row>
    <row r="50" spans="1:11" x14ac:dyDescent="0.2">
      <c r="A50" s="225"/>
      <c r="B50" s="19" t="s">
        <v>168</v>
      </c>
      <c r="C50" s="152">
        <v>1235.06</v>
      </c>
      <c r="D50" s="153">
        <v>1188.1600000000001</v>
      </c>
      <c r="E50" s="165">
        <v>129.69999999999999</v>
      </c>
      <c r="F50" s="166">
        <v>212.9</v>
      </c>
      <c r="G50" s="166">
        <v>191.1</v>
      </c>
      <c r="H50" s="166">
        <v>231.5</v>
      </c>
      <c r="I50" s="159">
        <v>133.80000000000001</v>
      </c>
      <c r="J50" s="166">
        <v>150.19999999999999</v>
      </c>
      <c r="K50" s="167">
        <v>178.2</v>
      </c>
    </row>
    <row r="51" spans="1:11" x14ac:dyDescent="0.2">
      <c r="A51" s="225"/>
      <c r="B51" s="19" t="s">
        <v>169</v>
      </c>
      <c r="C51" s="152">
        <v>1256.78</v>
      </c>
      <c r="D51" s="153">
        <v>1236.56</v>
      </c>
      <c r="E51" s="165">
        <v>128.80000000000001</v>
      </c>
      <c r="F51" s="166">
        <v>209.6</v>
      </c>
      <c r="G51" s="166">
        <v>193.7</v>
      </c>
      <c r="H51" s="166">
        <v>234.1</v>
      </c>
      <c r="I51" s="166">
        <v>133.80000000000001</v>
      </c>
      <c r="J51" s="166">
        <v>150.69999999999999</v>
      </c>
      <c r="K51" s="167">
        <v>179.4</v>
      </c>
    </row>
    <row r="52" spans="1:11" ht="13.5" thickBot="1" x14ac:dyDescent="0.25">
      <c r="A52" s="225"/>
      <c r="B52" s="19" t="s">
        <v>170</v>
      </c>
      <c r="C52" s="154">
        <v>1263.1400000000001</v>
      </c>
      <c r="D52" s="179">
        <v>1220.6300000000001</v>
      </c>
      <c r="E52" s="168">
        <v>128.1</v>
      </c>
      <c r="F52" s="169">
        <v>212.1</v>
      </c>
      <c r="G52" s="169">
        <v>193.7</v>
      </c>
      <c r="H52" s="169">
        <v>239</v>
      </c>
      <c r="I52" s="169">
        <v>133.80000000000001</v>
      </c>
      <c r="J52" s="169">
        <v>151</v>
      </c>
      <c r="K52" s="170">
        <v>179.9</v>
      </c>
    </row>
    <row r="53" spans="1:11" ht="14.25" thickTop="1" thickBot="1" x14ac:dyDescent="0.25">
      <c r="A53" s="226"/>
      <c r="B53" s="180" t="s">
        <v>162</v>
      </c>
      <c r="C53" s="52">
        <f>LOOKUP(2,1/(C41:C52&lt;&gt;""),C41:C52)</f>
        <v>1263.1400000000001</v>
      </c>
      <c r="D53" s="53">
        <f>AVERAGE(D41:D42,D43:D52)</f>
        <v>1218.0541666666666</v>
      </c>
      <c r="E53" s="52">
        <f>LOOKUP(2,1/(E41:E52&lt;&gt;""),E41:E52)</f>
        <v>128.1</v>
      </c>
      <c r="F53" s="52">
        <f>AVERAGE(F41:F42,F43:F52)</f>
        <v>214.48333333333335</v>
      </c>
      <c r="G53" s="52" cm="1">
        <f t="array" ref="G53">LOOKUP(2,1/(G41:G52&lt;&gt;""),G41:G52)</f>
        <v>193.7</v>
      </c>
      <c r="H53" s="52">
        <f>LOOKUP(2,1/(H41:H52&lt;&gt;""),H41:H52)</f>
        <v>239</v>
      </c>
      <c r="I53" s="52">
        <f>LOOKUP(2,1/(I41:I52&lt;&gt;""),I41:I52)</f>
        <v>133.80000000000001</v>
      </c>
      <c r="J53" s="52">
        <f>LOOKUP(2,1/(J41:J52&lt;&gt;""),J41:J52)</f>
        <v>151</v>
      </c>
      <c r="K53" s="53">
        <f>LOOKUP(2,1/(K41:K52&lt;&gt;""),K41:K52)</f>
        <v>179.9</v>
      </c>
    </row>
    <row r="54" spans="1:11" ht="13.5" thickTop="1" x14ac:dyDescent="0.2"/>
  </sheetData>
  <mergeCells count="9">
    <mergeCell ref="A41:A53"/>
    <mergeCell ref="A28:A40"/>
    <mergeCell ref="A15:A27"/>
    <mergeCell ref="A1:K1"/>
    <mergeCell ref="B11:D11"/>
    <mergeCell ref="C12:D12"/>
    <mergeCell ref="E12:K12"/>
    <mergeCell ref="B12:B13"/>
    <mergeCell ref="E11:K11"/>
  </mergeCells>
  <phoneticPr fontId="1" type="noConversion"/>
  <pageMargins left="0" right="0" top="0" bottom="0" header="0.51181102362204722" footer="0.31496062992125984"/>
  <pageSetup paperSize="17" orientation="landscape" r:id="rId1"/>
  <headerFooter alignWithMargins="0">
    <oddFooter>&amp;L&amp;"Calibri,Normal"&amp;8 2014-09-19&amp;R&amp;"Calibri,Normal"&amp;8Commission des transports du Québec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F405-1CBD-4674-8A41-74EA75214442}">
  <dimension ref="A2:E58"/>
  <sheetViews>
    <sheetView topLeftCell="A5" zoomScale="115" zoomScaleNormal="115" workbookViewId="0">
      <selection activeCell="E45" sqref="E45"/>
    </sheetView>
  </sheetViews>
  <sheetFormatPr baseColWidth="10" defaultRowHeight="12.75" x14ac:dyDescent="0.2"/>
  <cols>
    <col min="2" max="2" width="22.28515625" customWidth="1"/>
    <col min="3" max="3" width="16" style="1" customWidth="1"/>
    <col min="4" max="4" width="17.7109375" customWidth="1"/>
    <col min="5" max="5" width="19" customWidth="1"/>
  </cols>
  <sheetData>
    <row r="2" spans="1:5" ht="13.5" thickBot="1" x14ac:dyDescent="0.25"/>
    <row r="3" spans="1:5" ht="51" customHeight="1" x14ac:dyDescent="0.2">
      <c r="C3" s="246" t="s">
        <v>181</v>
      </c>
      <c r="D3" s="247"/>
      <c r="E3" s="250" t="s">
        <v>125</v>
      </c>
    </row>
    <row r="4" spans="1:5" ht="13.5" thickBot="1" x14ac:dyDescent="0.25">
      <c r="C4" s="248"/>
      <c r="D4" s="249"/>
      <c r="E4" s="251"/>
    </row>
    <row r="5" spans="1:5" ht="35.25" customHeight="1" thickBot="1" x14ac:dyDescent="0.25">
      <c r="C5" s="171" t="s">
        <v>180</v>
      </c>
      <c r="D5" s="172" t="s">
        <v>179</v>
      </c>
      <c r="E5" s="178" t="s">
        <v>124</v>
      </c>
    </row>
    <row r="6" spans="1:5" ht="14.25" thickTop="1" thickBot="1" x14ac:dyDescent="0.25">
      <c r="A6" s="147"/>
      <c r="B6" s="129" t="s">
        <v>118</v>
      </c>
      <c r="C6" s="194">
        <v>5.5996084189916792E-2</v>
      </c>
      <c r="D6" s="195">
        <v>0.94400391581008325</v>
      </c>
      <c r="E6" s="189">
        <v>100</v>
      </c>
    </row>
    <row r="7" spans="1:5" ht="13.5" customHeight="1" x14ac:dyDescent="0.2">
      <c r="A7" s="244" t="s">
        <v>140</v>
      </c>
      <c r="B7" s="173" t="s">
        <v>119</v>
      </c>
      <c r="C7" s="196" t="s">
        <v>159</v>
      </c>
      <c r="D7" s="197" t="s">
        <v>159</v>
      </c>
      <c r="E7" s="190">
        <v>100</v>
      </c>
    </row>
    <row r="8" spans="1:5" x14ac:dyDescent="0.2">
      <c r="A8" s="244"/>
      <c r="B8" s="174" t="s">
        <v>120</v>
      </c>
      <c r="C8" s="196" t="s">
        <v>159</v>
      </c>
      <c r="D8" s="197" t="s">
        <v>159</v>
      </c>
      <c r="E8" s="191">
        <v>100</v>
      </c>
    </row>
    <row r="9" spans="1:5" x14ac:dyDescent="0.2">
      <c r="A9" s="244"/>
      <c r="B9" s="174" t="s">
        <v>121</v>
      </c>
      <c r="C9" s="196" t="s">
        <v>159</v>
      </c>
      <c r="D9" s="197" t="s">
        <v>159</v>
      </c>
      <c r="E9" s="191">
        <v>100</v>
      </c>
    </row>
    <row r="10" spans="1:5" x14ac:dyDescent="0.2">
      <c r="A10" s="244"/>
      <c r="B10" s="174" t="s">
        <v>108</v>
      </c>
      <c r="C10" s="196" t="s">
        <v>159</v>
      </c>
      <c r="D10" s="197" t="s">
        <v>159</v>
      </c>
      <c r="E10" s="191">
        <v>100</v>
      </c>
    </row>
    <row r="11" spans="1:5" x14ac:dyDescent="0.2">
      <c r="A11" s="244"/>
      <c r="B11" s="174" t="s">
        <v>109</v>
      </c>
      <c r="C11" s="196" t="s">
        <v>159</v>
      </c>
      <c r="D11" s="197" t="s">
        <v>159</v>
      </c>
      <c r="E11" s="191">
        <v>100</v>
      </c>
    </row>
    <row r="12" spans="1:5" x14ac:dyDescent="0.2">
      <c r="A12" s="244"/>
      <c r="B12" s="174" t="s">
        <v>110</v>
      </c>
      <c r="C12" s="196" t="s">
        <v>159</v>
      </c>
      <c r="D12" s="197" t="s">
        <v>159</v>
      </c>
      <c r="E12" s="191">
        <v>100</v>
      </c>
    </row>
    <row r="13" spans="1:5" x14ac:dyDescent="0.2">
      <c r="A13" s="244"/>
      <c r="B13" s="175" t="s">
        <v>111</v>
      </c>
      <c r="C13" s="196" t="s">
        <v>159</v>
      </c>
      <c r="D13" s="197" t="s">
        <v>159</v>
      </c>
      <c r="E13" s="191">
        <v>100</v>
      </c>
    </row>
    <row r="14" spans="1:5" x14ac:dyDescent="0.2">
      <c r="A14" s="244"/>
      <c r="B14" s="175" t="s">
        <v>112</v>
      </c>
      <c r="C14" s="196" t="s">
        <v>159</v>
      </c>
      <c r="D14" s="197" t="s">
        <v>159</v>
      </c>
      <c r="E14" s="191">
        <f>E13*1.03</f>
        <v>103</v>
      </c>
    </row>
    <row r="15" spans="1:5" x14ac:dyDescent="0.2">
      <c r="A15" s="244"/>
      <c r="B15" s="176" t="s">
        <v>113</v>
      </c>
      <c r="C15" s="196" t="s">
        <v>159</v>
      </c>
      <c r="D15" s="197" t="s">
        <v>159</v>
      </c>
      <c r="E15" s="191">
        <v>103</v>
      </c>
    </row>
    <row r="16" spans="1:5" x14ac:dyDescent="0.2">
      <c r="A16" s="244"/>
      <c r="B16" s="176" t="s">
        <v>114</v>
      </c>
      <c r="C16" s="196" t="s">
        <v>159</v>
      </c>
      <c r="D16" s="197" t="s">
        <v>159</v>
      </c>
      <c r="E16" s="191">
        <v>103</v>
      </c>
    </row>
    <row r="17" spans="1:5" x14ac:dyDescent="0.2">
      <c r="A17" s="244"/>
      <c r="B17" s="176" t="s">
        <v>115</v>
      </c>
      <c r="C17" s="196" t="s">
        <v>159</v>
      </c>
      <c r="D17" s="197" t="s">
        <v>159</v>
      </c>
      <c r="E17" s="191">
        <v>103</v>
      </c>
    </row>
    <row r="18" spans="1:5" ht="13.5" thickBot="1" x14ac:dyDescent="0.25">
      <c r="A18" s="244"/>
      <c r="B18" s="176" t="s">
        <v>116</v>
      </c>
      <c r="C18" s="198" t="s">
        <v>159</v>
      </c>
      <c r="D18" s="199" t="s">
        <v>159</v>
      </c>
      <c r="E18" s="192">
        <v>103</v>
      </c>
    </row>
    <row r="19" spans="1:5" ht="13.5" thickBot="1" x14ac:dyDescent="0.25">
      <c r="A19" s="245"/>
      <c r="B19" s="177" t="s">
        <v>146</v>
      </c>
      <c r="C19" s="200">
        <v>8.022040353293898E-2</v>
      </c>
      <c r="D19" s="201">
        <v>0.91977959646706098</v>
      </c>
      <c r="E19" s="193" cm="1">
        <f t="array" ref="E19">LOOKUP(2,1/(E7:E18&lt;&gt;""),E7:E18)</f>
        <v>103</v>
      </c>
    </row>
    <row r="20" spans="1:5" x14ac:dyDescent="0.2">
      <c r="A20" s="244" t="s">
        <v>141</v>
      </c>
      <c r="B20" s="173" t="s">
        <v>142</v>
      </c>
      <c r="C20" s="196" t="s">
        <v>159</v>
      </c>
      <c r="D20" s="197" t="s">
        <v>159</v>
      </c>
      <c r="E20" s="190">
        <v>103</v>
      </c>
    </row>
    <row r="21" spans="1:5" ht="12.75" customHeight="1" x14ac:dyDescent="0.2">
      <c r="A21" s="244"/>
      <c r="B21" s="174" t="s">
        <v>143</v>
      </c>
      <c r="C21" s="196" t="s">
        <v>159</v>
      </c>
      <c r="D21" s="197" t="s">
        <v>159</v>
      </c>
      <c r="E21" s="191">
        <v>103</v>
      </c>
    </row>
    <row r="22" spans="1:5" x14ac:dyDescent="0.2">
      <c r="A22" s="244"/>
      <c r="B22" s="174" t="s">
        <v>144</v>
      </c>
      <c r="C22" s="196" t="s">
        <v>159</v>
      </c>
      <c r="D22" s="197" t="s">
        <v>159</v>
      </c>
      <c r="E22" s="191">
        <v>103</v>
      </c>
    </row>
    <row r="23" spans="1:5" x14ac:dyDescent="0.2">
      <c r="A23" s="244"/>
      <c r="B23" s="174" t="s">
        <v>139</v>
      </c>
      <c r="C23" s="196" t="s">
        <v>159</v>
      </c>
      <c r="D23" s="197" t="s">
        <v>159</v>
      </c>
      <c r="E23" s="191">
        <v>103</v>
      </c>
    </row>
    <row r="24" spans="1:5" x14ac:dyDescent="0.2">
      <c r="A24" s="244"/>
      <c r="B24" s="174" t="s">
        <v>128</v>
      </c>
      <c r="C24" s="196" t="s">
        <v>159</v>
      </c>
      <c r="D24" s="197" t="s">
        <v>159</v>
      </c>
      <c r="E24" s="191">
        <v>103</v>
      </c>
    </row>
    <row r="25" spans="1:5" x14ac:dyDescent="0.2">
      <c r="A25" s="244"/>
      <c r="B25" s="174" t="s">
        <v>129</v>
      </c>
      <c r="C25" s="196" t="s">
        <v>159</v>
      </c>
      <c r="D25" s="197" t="s">
        <v>159</v>
      </c>
      <c r="E25" s="191">
        <v>103</v>
      </c>
    </row>
    <row r="26" spans="1:5" x14ac:dyDescent="0.2">
      <c r="A26" s="244"/>
      <c r="B26" s="175" t="s">
        <v>130</v>
      </c>
      <c r="C26" s="196" t="s">
        <v>159</v>
      </c>
      <c r="D26" s="197" t="s">
        <v>159</v>
      </c>
      <c r="E26" s="191">
        <v>103</v>
      </c>
    </row>
    <row r="27" spans="1:5" x14ac:dyDescent="0.2">
      <c r="A27" s="244"/>
      <c r="B27" s="175" t="s">
        <v>131</v>
      </c>
      <c r="C27" s="196" t="s">
        <v>159</v>
      </c>
      <c r="D27" s="197" t="s">
        <v>159</v>
      </c>
      <c r="E27" s="191">
        <f>E26*1.03</f>
        <v>106.09</v>
      </c>
    </row>
    <row r="28" spans="1:5" x14ac:dyDescent="0.2">
      <c r="A28" s="244"/>
      <c r="B28" s="176" t="s">
        <v>132</v>
      </c>
      <c r="C28" s="196" t="s">
        <v>159</v>
      </c>
      <c r="D28" s="197" t="s">
        <v>159</v>
      </c>
      <c r="E28" s="191">
        <f>E27</f>
        <v>106.09</v>
      </c>
    </row>
    <row r="29" spans="1:5" x14ac:dyDescent="0.2">
      <c r="A29" s="244"/>
      <c r="B29" s="176" t="s">
        <v>133</v>
      </c>
      <c r="C29" s="196" t="s">
        <v>159</v>
      </c>
      <c r="D29" s="197" t="s">
        <v>159</v>
      </c>
      <c r="E29" s="191">
        <f>E28</f>
        <v>106.09</v>
      </c>
    </row>
    <row r="30" spans="1:5" x14ac:dyDescent="0.2">
      <c r="A30" s="244"/>
      <c r="B30" s="176" t="s">
        <v>134</v>
      </c>
      <c r="C30" s="196" t="s">
        <v>159</v>
      </c>
      <c r="D30" s="197" t="s">
        <v>159</v>
      </c>
      <c r="E30" s="191">
        <f>E29</f>
        <v>106.09</v>
      </c>
    </row>
    <row r="31" spans="1:5" ht="13.5" thickBot="1" x14ac:dyDescent="0.25">
      <c r="A31" s="244"/>
      <c r="B31" s="176" t="s">
        <v>135</v>
      </c>
      <c r="C31" s="198" t="s">
        <v>159</v>
      </c>
      <c r="D31" s="199" t="s">
        <v>159</v>
      </c>
      <c r="E31" s="192">
        <f>E30</f>
        <v>106.09</v>
      </c>
    </row>
    <row r="32" spans="1:5" ht="13.5" thickBot="1" x14ac:dyDescent="0.25">
      <c r="A32" s="245"/>
      <c r="B32" s="177" t="s">
        <v>145</v>
      </c>
      <c r="C32" s="200">
        <v>0.14499999999999999</v>
      </c>
      <c r="D32" s="201">
        <f t="shared" ref="D32" si="0">1-C32</f>
        <v>0.85499999999999998</v>
      </c>
      <c r="E32" s="193" cm="1">
        <f t="array" ref="E32">LOOKUP(2,1/(E20:E31&lt;&gt;""),E20:E31)</f>
        <v>106.09</v>
      </c>
    </row>
    <row r="33" spans="1:5" x14ac:dyDescent="0.2">
      <c r="A33" s="244" t="s">
        <v>162</v>
      </c>
      <c r="B33" s="173" t="s">
        <v>176</v>
      </c>
      <c r="C33" s="196">
        <v>0.1096</v>
      </c>
      <c r="D33" s="197">
        <f>1-C33</f>
        <v>0.89039999999999997</v>
      </c>
      <c r="E33" s="190">
        <v>106.09</v>
      </c>
    </row>
    <row r="34" spans="1:5" x14ac:dyDescent="0.2">
      <c r="A34" s="244"/>
      <c r="B34" s="174" t="s">
        <v>177</v>
      </c>
      <c r="C34" s="196" t="s">
        <v>159</v>
      </c>
      <c r="D34" s="197" t="s">
        <v>159</v>
      </c>
      <c r="E34" s="191">
        <v>106.1</v>
      </c>
    </row>
    <row r="35" spans="1:5" x14ac:dyDescent="0.2">
      <c r="A35" s="244"/>
      <c r="B35" s="174" t="s">
        <v>178</v>
      </c>
      <c r="C35" s="196" t="s">
        <v>159</v>
      </c>
      <c r="D35" s="197" t="s">
        <v>159</v>
      </c>
      <c r="E35" s="191">
        <v>106.1</v>
      </c>
    </row>
    <row r="36" spans="1:5" x14ac:dyDescent="0.2">
      <c r="A36" s="244"/>
      <c r="B36" s="174" t="s">
        <v>174</v>
      </c>
      <c r="C36" s="196">
        <v>0.153</v>
      </c>
      <c r="D36" s="197">
        <f>1-C36</f>
        <v>0.84699999999999998</v>
      </c>
      <c r="E36" s="191">
        <v>106.1</v>
      </c>
    </row>
    <row r="37" spans="1:5" x14ac:dyDescent="0.2">
      <c r="A37" s="244"/>
      <c r="B37" s="174" t="s">
        <v>163</v>
      </c>
      <c r="C37" s="196">
        <v>0.156</v>
      </c>
      <c r="D37" s="197">
        <f>1-C37</f>
        <v>0.84399999999999997</v>
      </c>
      <c r="E37" s="191">
        <v>106.1</v>
      </c>
    </row>
    <row r="38" spans="1:5" x14ac:dyDescent="0.2">
      <c r="A38" s="244"/>
      <c r="B38" s="174" t="s">
        <v>164</v>
      </c>
      <c r="C38" s="196" t="s">
        <v>159</v>
      </c>
      <c r="D38" s="197" t="s">
        <v>159</v>
      </c>
      <c r="E38" s="191">
        <v>106.1</v>
      </c>
    </row>
    <row r="39" spans="1:5" x14ac:dyDescent="0.2">
      <c r="A39" s="244"/>
      <c r="B39" s="175" t="s">
        <v>165</v>
      </c>
      <c r="C39" s="196" t="s">
        <v>159</v>
      </c>
      <c r="D39" s="197" t="s">
        <v>159</v>
      </c>
      <c r="E39" s="191">
        <v>106.1</v>
      </c>
    </row>
    <row r="40" spans="1:5" x14ac:dyDescent="0.2">
      <c r="A40" s="244"/>
      <c r="B40" s="175" t="s">
        <v>166</v>
      </c>
      <c r="C40" s="196">
        <v>0.17699999999999999</v>
      </c>
      <c r="D40" s="197">
        <f>1-C40</f>
        <v>0.82299999999999995</v>
      </c>
      <c r="E40" s="191">
        <f>E39*1.03</f>
        <v>109.283</v>
      </c>
    </row>
    <row r="41" spans="1:5" x14ac:dyDescent="0.2">
      <c r="A41" s="244"/>
      <c r="B41" s="176" t="s">
        <v>167</v>
      </c>
      <c r="C41" s="196">
        <v>0.17699999999999999</v>
      </c>
      <c r="D41" s="197">
        <f>1-C41</f>
        <v>0.82299999999999995</v>
      </c>
      <c r="E41" s="191">
        <v>109.3</v>
      </c>
    </row>
    <row r="42" spans="1:5" x14ac:dyDescent="0.2">
      <c r="A42" s="244"/>
      <c r="B42" s="176" t="s">
        <v>168</v>
      </c>
      <c r="C42" s="196">
        <v>0.17899999999999999</v>
      </c>
      <c r="D42" s="197">
        <f>1-C42</f>
        <v>0.82099999999999995</v>
      </c>
      <c r="E42" s="191">
        <v>109.3</v>
      </c>
    </row>
    <row r="43" spans="1:5" x14ac:dyDescent="0.2">
      <c r="A43" s="244"/>
      <c r="B43" s="176" t="s">
        <v>169</v>
      </c>
      <c r="C43" s="196">
        <v>0.182</v>
      </c>
      <c r="D43" s="197">
        <f>1-C43</f>
        <v>0.81800000000000006</v>
      </c>
      <c r="E43" s="191">
        <v>109.3</v>
      </c>
    </row>
    <row r="44" spans="1:5" ht="13.5" thickBot="1" x14ac:dyDescent="0.25">
      <c r="A44" s="244"/>
      <c r="B44" s="176" t="s">
        <v>170</v>
      </c>
      <c r="C44" s="198">
        <v>0.185</v>
      </c>
      <c r="D44" s="199">
        <f>1-C44</f>
        <v>0.81499999999999995</v>
      </c>
      <c r="E44" s="192">
        <v>109.3</v>
      </c>
    </row>
    <row r="45" spans="1:5" ht="13.5" thickBot="1" x14ac:dyDescent="0.25">
      <c r="A45" s="245"/>
      <c r="B45" s="177" t="s">
        <v>175</v>
      </c>
      <c r="C45" s="200" cm="1">
        <f t="array" ref="C45">LOOKUP(2,1/(C33:C44&lt;&gt;""),C33:C44)</f>
        <v>0.185</v>
      </c>
      <c r="D45" s="200" cm="1">
        <f t="array" ref="D45">LOOKUP(2,1/(D33:D44&lt;&gt;""),D33:D44)</f>
        <v>0.81499999999999995</v>
      </c>
      <c r="E45" s="202" cm="1">
        <f t="array" ref="E45">LOOKUP(2,1/(E33:E44&lt;&gt;""),E33:E44)</f>
        <v>109.3</v>
      </c>
    </row>
    <row r="50" spans="1:5" x14ac:dyDescent="0.2">
      <c r="A50" s="240" t="s">
        <v>149</v>
      </c>
      <c r="B50" s="241"/>
      <c r="C50" s="241"/>
      <c r="D50" s="241"/>
      <c r="E50" s="241"/>
    </row>
    <row r="51" spans="1:5" x14ac:dyDescent="0.2">
      <c r="A51" s="241"/>
      <c r="B51" s="241"/>
      <c r="C51" s="241"/>
      <c r="D51" s="241"/>
      <c r="E51" s="241"/>
    </row>
    <row r="52" spans="1:5" x14ac:dyDescent="0.2">
      <c r="A52" s="241"/>
      <c r="B52" s="241"/>
      <c r="C52" s="241"/>
      <c r="D52" s="241"/>
      <c r="E52" s="241"/>
    </row>
    <row r="53" spans="1:5" x14ac:dyDescent="0.2">
      <c r="A53" s="241"/>
      <c r="B53" s="241"/>
      <c r="C53" s="241"/>
      <c r="D53" s="241"/>
      <c r="E53" s="241"/>
    </row>
    <row r="54" spans="1:5" x14ac:dyDescent="0.2">
      <c r="A54" s="241"/>
      <c r="B54" s="241"/>
      <c r="C54" s="241"/>
      <c r="D54" s="241"/>
      <c r="E54" s="241"/>
    </row>
    <row r="55" spans="1:5" x14ac:dyDescent="0.2">
      <c r="A55" s="241"/>
      <c r="B55" s="241"/>
      <c r="C55" s="241"/>
      <c r="D55" s="241"/>
      <c r="E55" s="241"/>
    </row>
    <row r="56" spans="1:5" x14ac:dyDescent="0.2">
      <c r="A56" s="241"/>
      <c r="B56" s="241"/>
      <c r="C56" s="241"/>
      <c r="D56" s="241"/>
      <c r="E56" s="241"/>
    </row>
    <row r="57" spans="1:5" x14ac:dyDescent="0.2">
      <c r="A57" s="242" t="s">
        <v>182</v>
      </c>
      <c r="B57" s="243"/>
      <c r="C57" s="243"/>
      <c r="D57" s="243"/>
      <c r="E57" s="243"/>
    </row>
    <row r="58" spans="1:5" x14ac:dyDescent="0.2">
      <c r="A58" s="243"/>
      <c r="B58" s="243"/>
      <c r="C58" s="243"/>
      <c r="D58" s="243"/>
      <c r="E58" s="243"/>
    </row>
  </sheetData>
  <mergeCells count="7">
    <mergeCell ref="A50:E56"/>
    <mergeCell ref="A57:E58"/>
    <mergeCell ref="A33:A45"/>
    <mergeCell ref="A7:A19"/>
    <mergeCell ref="C3:D4"/>
    <mergeCell ref="E3:E4"/>
    <mergeCell ref="A20:A3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2"/>
  <sheetViews>
    <sheetView topLeftCell="A11" zoomScale="115" zoomScaleNormal="115" workbookViewId="0">
      <selection activeCell="L28" sqref="L28"/>
    </sheetView>
  </sheetViews>
  <sheetFormatPr baseColWidth="10" defaultColWidth="11.28515625" defaultRowHeight="15.75" x14ac:dyDescent="0.2"/>
  <cols>
    <col min="1" max="1" width="33.85546875" style="23" customWidth="1"/>
    <col min="2" max="3" width="14.85546875" style="24" customWidth="1"/>
    <col min="4" max="4" width="17.140625" style="24" customWidth="1"/>
    <col min="5" max="6" width="14.85546875" style="24" customWidth="1"/>
    <col min="7" max="7" width="14.85546875" style="79" customWidth="1"/>
    <col min="8" max="9" width="14.85546875" style="24" customWidth="1"/>
    <col min="10" max="10" width="14.85546875" style="79" customWidth="1"/>
    <col min="11" max="11" width="14.85546875" style="100" customWidth="1"/>
    <col min="12" max="12" width="14.85546875" style="24" customWidth="1"/>
    <col min="13" max="16384" width="11.28515625" style="24"/>
  </cols>
  <sheetData>
    <row r="1" spans="1:12" customFormat="1" ht="54" customHeight="1" x14ac:dyDescent="0.2">
      <c r="A1" s="254" t="s">
        <v>66</v>
      </c>
      <c r="B1" s="254"/>
      <c r="C1" s="254"/>
      <c r="D1" s="254"/>
      <c r="E1" s="254"/>
      <c r="F1" s="254"/>
      <c r="G1" s="254"/>
      <c r="H1" s="254"/>
      <c r="I1" s="254"/>
      <c r="J1" s="254"/>
      <c r="K1" s="254"/>
      <c r="L1" s="254"/>
    </row>
    <row r="2" spans="1:12" s="22" customFormat="1" ht="78.75" x14ac:dyDescent="0.25">
      <c r="A2" s="39" t="s">
        <v>16</v>
      </c>
      <c r="B2" s="29" t="s">
        <v>147</v>
      </c>
      <c r="C2" s="29" t="str">
        <f>_xlfn.CONCAT("Progression
de l'ICT           ",'CALCUL ICT'!J3)</f>
        <v>Progression
de l'ICT           août 2024</v>
      </c>
      <c r="D2" s="29" t="s">
        <v>70</v>
      </c>
      <c r="E2" s="67" t="str">
        <f>CONCATENATE("Tarifs proposés ",'CALCUL ICT'!C3,"                    = D arrondi          (voir note)")</f>
        <v>Tarifs proposés Poids pondéré                    = D arrondi          (voir note)</v>
      </c>
      <c r="F2" s="30" t="s">
        <v>148</v>
      </c>
      <c r="G2" s="111" t="s">
        <v>71</v>
      </c>
      <c r="H2" s="78" t="s">
        <v>72</v>
      </c>
      <c r="I2" s="78" t="s">
        <v>76</v>
      </c>
      <c r="J2" s="92" t="s">
        <v>75</v>
      </c>
      <c r="K2" s="101" t="s">
        <v>96</v>
      </c>
      <c r="L2" s="102" t="s">
        <v>97</v>
      </c>
    </row>
    <row r="3" spans="1:12" s="22" customFormat="1" ht="15.75" customHeight="1" x14ac:dyDescent="0.2">
      <c r="A3" s="41"/>
      <c r="B3" s="42" t="s">
        <v>21</v>
      </c>
      <c r="C3" s="42" t="s">
        <v>22</v>
      </c>
      <c r="D3" s="42" t="s">
        <v>23</v>
      </c>
      <c r="E3" s="42" t="s">
        <v>24</v>
      </c>
      <c r="F3" s="43" t="s">
        <v>49</v>
      </c>
      <c r="G3" s="94" t="s">
        <v>50</v>
      </c>
      <c r="H3" s="94" t="s">
        <v>51</v>
      </c>
      <c r="I3" s="94" t="s">
        <v>69</v>
      </c>
      <c r="J3" s="93" t="s">
        <v>74</v>
      </c>
      <c r="K3" s="99"/>
    </row>
    <row r="4" spans="1:12" ht="36.75" customHeight="1" x14ac:dyDescent="0.2">
      <c r="A4" s="25" t="s">
        <v>17</v>
      </c>
      <c r="B4" s="26">
        <v>4.0999999999999996</v>
      </c>
      <c r="C4" s="57">
        <f>('CALCUL ICT'!N15-100)/100</f>
        <v>7.2723645711668755E-2</v>
      </c>
      <c r="D4" s="96">
        <f>B4*(1+C4)</f>
        <v>4.3981669474178409</v>
      </c>
      <c r="E4" s="103">
        <f>ROUNDDOWN(20*$D$4,0)/20</f>
        <v>4.3499999999999996</v>
      </c>
      <c r="F4" s="28">
        <f>(E4-B4)/B4</f>
        <v>6.0975609756097567E-2</v>
      </c>
      <c r="G4" s="112">
        <f>ROUND(E4/1.14975,2)</f>
        <v>3.78</v>
      </c>
      <c r="H4" s="80">
        <f>ROUND(G4*0.05,2)</f>
        <v>0.19</v>
      </c>
      <c r="I4" s="80">
        <f>ROUND(G4*0.09975,2)</f>
        <v>0.38</v>
      </c>
      <c r="J4" s="86">
        <f>I4+H4+G4</f>
        <v>4.3499999999999996</v>
      </c>
      <c r="L4" s="85"/>
    </row>
    <row r="5" spans="1:12" ht="36.75" customHeight="1" x14ac:dyDescent="0.2">
      <c r="A5" s="25" t="s">
        <v>18</v>
      </c>
      <c r="B5" s="26">
        <v>1.78</v>
      </c>
      <c r="C5" s="57">
        <f>C4</f>
        <v>7.2723645711668755E-2</v>
      </c>
      <c r="D5" s="96">
        <f>B5*(1+C5)</f>
        <v>1.9094480893667702</v>
      </c>
      <c r="E5" s="103">
        <f>5*ROUND(D5/5,2)</f>
        <v>1.9</v>
      </c>
      <c r="F5" s="28">
        <f>(E5-B5)/B5</f>
        <v>6.741573033707858E-2</v>
      </c>
      <c r="G5" s="112">
        <f t="shared" ref="G5:G7" si="0">ROUND(E5/1.14975,2)</f>
        <v>1.65</v>
      </c>
      <c r="H5" s="80">
        <f>ROUND(G5*0.05,2)</f>
        <v>0.08</v>
      </c>
      <c r="I5" s="80">
        <f>ROUND(G5*0.09975,2)</f>
        <v>0.16</v>
      </c>
      <c r="J5" s="97">
        <f>I5+H5+G5</f>
        <v>1.89</v>
      </c>
      <c r="K5" s="100">
        <v>1.65</v>
      </c>
      <c r="L5" s="85">
        <f t="shared" ref="L5" si="1">K5*(1+0.05+0.09975)</f>
        <v>1.8970875</v>
      </c>
    </row>
    <row r="6" spans="1:12" ht="36.75" customHeight="1" x14ac:dyDescent="0.2">
      <c r="A6" s="25" t="s">
        <v>19</v>
      </c>
      <c r="B6" s="26">
        <f>ROUND(B7/60,2)</f>
        <v>0.77</v>
      </c>
      <c r="C6" s="57">
        <f>C4</f>
        <v>7.2723645711668755E-2</v>
      </c>
      <c r="D6" s="96">
        <f>B6*(1+C6)</f>
        <v>0.82599720719798486</v>
      </c>
      <c r="E6" s="103">
        <f>(ROUNDUP($D$6,2))</f>
        <v>0.83</v>
      </c>
      <c r="F6" s="28">
        <f>(E6-B6)/B6</f>
        <v>7.7922077922077851E-2</v>
      </c>
      <c r="G6" s="112">
        <f>ROUND(E6/1.14975,2)</f>
        <v>0.72</v>
      </c>
      <c r="H6" s="80">
        <f>ROUND(G6*0.05,2)</f>
        <v>0.04</v>
      </c>
      <c r="I6" s="80">
        <f>ROUND(G6*0.09975,2)</f>
        <v>7.0000000000000007E-2</v>
      </c>
      <c r="J6" s="97">
        <f>I6+H6+G6</f>
        <v>0.83</v>
      </c>
      <c r="L6" s="85"/>
    </row>
    <row r="7" spans="1:12" ht="36.75" customHeight="1" x14ac:dyDescent="0.2">
      <c r="A7" s="25" t="s">
        <v>100</v>
      </c>
      <c r="B7" s="26">
        <v>46.2</v>
      </c>
      <c r="C7" s="57"/>
      <c r="D7" s="96"/>
      <c r="E7" s="103">
        <f>ROUND(E6,2)*60</f>
        <v>49.8</v>
      </c>
      <c r="F7" s="28">
        <f>(E7-B7)/B7</f>
        <v>7.7922077922077795E-2</v>
      </c>
      <c r="G7" s="112">
        <f t="shared" si="0"/>
        <v>43.31</v>
      </c>
      <c r="H7" s="80">
        <f>ROUND(G7*0.05,2)</f>
        <v>2.17</v>
      </c>
      <c r="I7" s="80">
        <f>ROUND(G7*0.09975,2)</f>
        <v>4.32</v>
      </c>
      <c r="J7" s="97">
        <f>I7+H7+G7</f>
        <v>49.800000000000004</v>
      </c>
      <c r="L7" s="85"/>
    </row>
    <row r="8" spans="1:12" ht="11.25" customHeight="1" x14ac:dyDescent="0.2">
      <c r="A8" s="31"/>
      <c r="B8" s="32"/>
      <c r="C8" s="33"/>
      <c r="D8" s="33"/>
      <c r="E8" s="32"/>
      <c r="F8" s="34"/>
      <c r="G8" s="83"/>
    </row>
    <row r="9" spans="1:12" ht="36.75" customHeight="1" x14ac:dyDescent="0.2">
      <c r="A9" s="35" t="s">
        <v>20</v>
      </c>
      <c r="B9" s="36">
        <f>5*ROUND((B4+(5*B5)+(4*B6))/5,2)</f>
        <v>16.100000000000001</v>
      </c>
      <c r="C9" s="37"/>
      <c r="D9" s="36"/>
      <c r="E9" s="104">
        <f>5*ROUND((E4+(5*E5)+(4*E6))/5,2)</f>
        <v>17.150000000000002</v>
      </c>
      <c r="F9" s="38">
        <f>(E9-B9)/B9</f>
        <v>6.5217391304347866E-2</v>
      </c>
      <c r="G9" s="84"/>
    </row>
    <row r="10" spans="1:12" ht="12" customHeight="1" x14ac:dyDescent="0.2">
      <c r="F10" s="82"/>
    </row>
    <row r="11" spans="1:12" ht="66.75" customHeight="1" x14ac:dyDescent="0.2">
      <c r="A11" s="35" t="s">
        <v>52</v>
      </c>
      <c r="B11" s="81">
        <f>B7/B5</f>
        <v>25.955056179775283</v>
      </c>
      <c r="C11" s="37"/>
      <c r="D11" s="36"/>
      <c r="E11" s="105">
        <f>E7/E5</f>
        <v>26.210526315789473</v>
      </c>
      <c r="F11" s="38"/>
      <c r="G11" s="252"/>
      <c r="H11" s="253"/>
      <c r="I11" s="253"/>
      <c r="J11" s="253"/>
    </row>
    <row r="12" spans="1:12" x14ac:dyDescent="0.2">
      <c r="B12" s="87"/>
      <c r="C12" s="79"/>
      <c r="D12" s="86"/>
      <c r="E12" s="87"/>
      <c r="F12" s="88"/>
    </row>
    <row r="13" spans="1:12" ht="17.25" customHeight="1" x14ac:dyDescent="0.2">
      <c r="A13" s="255" t="s">
        <v>99</v>
      </c>
      <c r="B13" s="255"/>
    </row>
    <row r="14" spans="1:12" x14ac:dyDescent="0.2">
      <c r="A14" s="44" t="s">
        <v>17</v>
      </c>
      <c r="B14" s="24" t="s">
        <v>25</v>
      </c>
    </row>
    <row r="15" spans="1:12" x14ac:dyDescent="0.2">
      <c r="A15" s="44" t="s">
        <v>18</v>
      </c>
      <c r="B15" s="24" t="s">
        <v>77</v>
      </c>
    </row>
    <row r="16" spans="1:12" x14ac:dyDescent="0.2">
      <c r="A16" s="44" t="s">
        <v>19</v>
      </c>
      <c r="B16" s="24" t="s">
        <v>26</v>
      </c>
      <c r="L16" s="40">
        <f ca="1">TODAY()</f>
        <v>45926</v>
      </c>
    </row>
    <row r="17" spans="1:15" customFormat="1" ht="54" customHeight="1" x14ac:dyDescent="0.2">
      <c r="A17" s="90"/>
      <c r="B17" s="256" t="s">
        <v>66</v>
      </c>
      <c r="C17" s="256"/>
      <c r="D17" s="256"/>
      <c r="E17" s="256"/>
      <c r="F17" s="256"/>
      <c r="G17" s="256"/>
      <c r="H17" s="256"/>
      <c r="I17" s="256"/>
      <c r="J17" s="256"/>
      <c r="K17" s="98"/>
      <c r="L17" s="91" t="s">
        <v>59</v>
      </c>
    </row>
    <row r="18" spans="1:15" s="22" customFormat="1" ht="78.75" x14ac:dyDescent="0.25">
      <c r="A18" s="39" t="s">
        <v>16</v>
      </c>
      <c r="B18" s="29" t="s">
        <v>147</v>
      </c>
      <c r="C18" s="29" t="str">
        <f>C2</f>
        <v>Progression
de l'ICT           août 2024</v>
      </c>
      <c r="D18" s="29" t="s">
        <v>70</v>
      </c>
      <c r="E18" s="67" t="str">
        <f>E2</f>
        <v>Tarifs proposés Poids pondéré                    = D arrondi          (voir note)</v>
      </c>
      <c r="F18" s="30" t="str">
        <f>F2</f>
        <v>Variation
2023/2022
= (E - A)/A</v>
      </c>
      <c r="G18" s="111" t="s">
        <v>71</v>
      </c>
      <c r="H18" s="78" t="s">
        <v>72</v>
      </c>
      <c r="I18" s="78" t="s">
        <v>73</v>
      </c>
      <c r="J18" s="92" t="s">
        <v>75</v>
      </c>
      <c r="K18" s="101" t="s">
        <v>98</v>
      </c>
      <c r="L18" s="102" t="s">
        <v>97</v>
      </c>
    </row>
    <row r="19" spans="1:15" s="22" customFormat="1" ht="15.75" customHeight="1" x14ac:dyDescent="0.2">
      <c r="A19" s="41"/>
      <c r="B19" s="42" t="s">
        <v>21</v>
      </c>
      <c r="C19" s="42" t="s">
        <v>22</v>
      </c>
      <c r="D19" s="42" t="s">
        <v>23</v>
      </c>
      <c r="E19" s="42" t="s">
        <v>24</v>
      </c>
      <c r="F19" s="43" t="s">
        <v>49</v>
      </c>
      <c r="G19" s="94" t="s">
        <v>50</v>
      </c>
      <c r="H19" s="94" t="s">
        <v>51</v>
      </c>
      <c r="I19" s="94" t="s">
        <v>69</v>
      </c>
      <c r="J19" s="93" t="s">
        <v>74</v>
      </c>
      <c r="K19" s="99"/>
    </row>
    <row r="20" spans="1:15" ht="29.25" customHeight="1" x14ac:dyDescent="0.2">
      <c r="A20" s="89" t="s">
        <v>53</v>
      </c>
      <c r="B20" s="87"/>
      <c r="C20" s="79"/>
      <c r="D20" s="86"/>
      <c r="E20" s="87"/>
      <c r="F20" s="88"/>
      <c r="L20" s="85"/>
    </row>
    <row r="21" spans="1:15" ht="47.25" customHeight="1" x14ac:dyDescent="0.2">
      <c r="A21" s="25" t="s">
        <v>54</v>
      </c>
      <c r="B21" s="26">
        <v>48.4</v>
      </c>
      <c r="C21" s="57">
        <f>C4</f>
        <v>7.2723645711668755E-2</v>
      </c>
      <c r="D21" s="27">
        <f t="shared" ref="D21:D27" si="2">B21*(1+C21)</f>
        <v>51.919824452444765</v>
      </c>
      <c r="E21" s="103">
        <f>5*ROUND(D21/5,2)</f>
        <v>51.900000000000006</v>
      </c>
      <c r="F21" s="28">
        <f t="shared" ref="F21:F27" si="3">(E21-B21)/B21</f>
        <v>7.2314049586777007E-2</v>
      </c>
      <c r="G21" s="112">
        <f t="shared" ref="G21:G27" si="4">ROUND(E21/1.14975,2)</f>
        <v>45.14</v>
      </c>
      <c r="H21" s="80">
        <f t="shared" ref="H21:H27" si="5">ROUND(G21*0.05,2)</f>
        <v>2.2599999999999998</v>
      </c>
      <c r="I21" s="80">
        <f t="shared" ref="I21:I27" si="6">ROUND(G21*0.09975,2)</f>
        <v>4.5</v>
      </c>
      <c r="J21" s="86">
        <f t="shared" ref="J21:J27" si="7">I21+H21+G21</f>
        <v>51.9</v>
      </c>
      <c r="L21" s="85"/>
    </row>
    <row r="22" spans="1:15" ht="47.25" customHeight="1" x14ac:dyDescent="0.2">
      <c r="A22" s="25" t="s">
        <v>56</v>
      </c>
      <c r="B22" s="26">
        <v>20.6</v>
      </c>
      <c r="C22" s="57">
        <f>C4</f>
        <v>7.2723645711668755E-2</v>
      </c>
      <c r="D22" s="27">
        <f t="shared" si="2"/>
        <v>22.098107101660375</v>
      </c>
      <c r="E22" s="103">
        <f t="shared" ref="E22:E27" si="8">5*ROUND(D22/5,2)</f>
        <v>22.1</v>
      </c>
      <c r="F22" s="28">
        <f t="shared" si="3"/>
        <v>7.281553398058252E-2</v>
      </c>
      <c r="G22" s="112">
        <f t="shared" si="4"/>
        <v>19.22</v>
      </c>
      <c r="H22" s="80">
        <f t="shared" si="5"/>
        <v>0.96</v>
      </c>
      <c r="I22" s="80">
        <f t="shared" si="6"/>
        <v>1.92</v>
      </c>
      <c r="J22" s="86">
        <f t="shared" si="7"/>
        <v>22.099999999999998</v>
      </c>
      <c r="L22" s="85"/>
    </row>
    <row r="23" spans="1:15" ht="35.25" customHeight="1" x14ac:dyDescent="0.2">
      <c r="A23" s="25" t="s">
        <v>55</v>
      </c>
      <c r="B23" s="26">
        <v>41.4</v>
      </c>
      <c r="C23" s="57">
        <f>C4</f>
        <v>7.2723645711668755E-2</v>
      </c>
      <c r="D23" s="27">
        <f t="shared" si="2"/>
        <v>44.410758932463082</v>
      </c>
      <c r="E23" s="103">
        <f t="shared" si="8"/>
        <v>44.400000000000006</v>
      </c>
      <c r="F23" s="28">
        <f t="shared" si="3"/>
        <v>7.2463768115942198E-2</v>
      </c>
      <c r="G23" s="113">
        <f t="shared" si="4"/>
        <v>38.619999999999997</v>
      </c>
      <c r="H23" s="107">
        <f t="shared" si="5"/>
        <v>1.93</v>
      </c>
      <c r="I23" s="107">
        <f t="shared" si="6"/>
        <v>3.85</v>
      </c>
      <c r="J23" s="108">
        <f t="shared" si="7"/>
        <v>44.4</v>
      </c>
      <c r="L23" s="85"/>
      <c r="O23" s="106"/>
    </row>
    <row r="24" spans="1:15" ht="35.25" customHeight="1" x14ac:dyDescent="0.2">
      <c r="A24" s="25" t="s">
        <v>57</v>
      </c>
      <c r="B24" s="26">
        <v>18.149999999999999</v>
      </c>
      <c r="C24" s="57">
        <f>C4</f>
        <v>7.2723645711668755E-2</v>
      </c>
      <c r="D24" s="27">
        <f t="shared" si="2"/>
        <v>19.469934169666786</v>
      </c>
      <c r="E24" s="103">
        <f t="shared" si="8"/>
        <v>19.45</v>
      </c>
      <c r="F24" s="28">
        <f t="shared" si="3"/>
        <v>7.1625344352617124E-2</v>
      </c>
      <c r="G24" s="112">
        <f t="shared" si="4"/>
        <v>16.920000000000002</v>
      </c>
      <c r="H24" s="80">
        <f t="shared" si="5"/>
        <v>0.85</v>
      </c>
      <c r="I24" s="80">
        <f t="shared" si="6"/>
        <v>1.69</v>
      </c>
      <c r="J24" s="86">
        <f t="shared" si="7"/>
        <v>19.46</v>
      </c>
      <c r="K24" s="100">
        <v>16.920000000000002</v>
      </c>
      <c r="L24" s="85">
        <f t="shared" ref="L24:L27" si="9">K24*(1+0.05+0.09975)</f>
        <v>19.453770000000002</v>
      </c>
    </row>
    <row r="25" spans="1:15" ht="35.25" customHeight="1" x14ac:dyDescent="0.2">
      <c r="A25" s="25" t="s">
        <v>60</v>
      </c>
      <c r="B25" s="26">
        <v>2.85</v>
      </c>
      <c r="C25" s="57">
        <f>C4</f>
        <v>7.2723645711668755E-2</v>
      </c>
      <c r="D25" s="27">
        <f t="shared" si="2"/>
        <v>3.0572623902782556</v>
      </c>
      <c r="E25" s="103">
        <f t="shared" si="8"/>
        <v>3.05</v>
      </c>
      <c r="F25" s="28">
        <f t="shared" si="3"/>
        <v>7.0175438596491127E-2</v>
      </c>
      <c r="G25" s="112">
        <f t="shared" si="4"/>
        <v>2.65</v>
      </c>
      <c r="H25" s="80">
        <f t="shared" si="5"/>
        <v>0.13</v>
      </c>
      <c r="I25" s="80">
        <f t="shared" si="6"/>
        <v>0.26</v>
      </c>
      <c r="J25" s="86">
        <f t="shared" si="7"/>
        <v>3.04</v>
      </c>
      <c r="K25" s="100">
        <v>2.65</v>
      </c>
      <c r="L25" s="85">
        <f t="shared" si="9"/>
        <v>3.0468375000000001</v>
      </c>
    </row>
    <row r="26" spans="1:15" ht="35.25" customHeight="1" x14ac:dyDescent="0.2">
      <c r="A26" s="25" t="s">
        <v>61</v>
      </c>
      <c r="B26" s="26">
        <v>7.75</v>
      </c>
      <c r="C26" s="57">
        <f>C4</f>
        <v>7.2723645711668755E-2</v>
      </c>
      <c r="D26" s="27">
        <f t="shared" si="2"/>
        <v>8.3136082542654322</v>
      </c>
      <c r="E26" s="103">
        <f t="shared" si="8"/>
        <v>8.2999999999999989</v>
      </c>
      <c r="F26" s="28">
        <f t="shared" si="3"/>
        <v>7.0967741935483733E-2</v>
      </c>
      <c r="G26" s="112">
        <f t="shared" si="4"/>
        <v>7.22</v>
      </c>
      <c r="H26" s="80">
        <f t="shared" ref="H26" si="10">ROUND(G26*0.05,2)</f>
        <v>0.36</v>
      </c>
      <c r="I26" s="80">
        <f t="shared" ref="I26" si="11">ROUND(G26*0.09975,2)</f>
        <v>0.72</v>
      </c>
      <c r="J26" s="86">
        <f t="shared" ref="J26" si="12">I26+H26+G26</f>
        <v>8.3000000000000007</v>
      </c>
      <c r="L26" s="85"/>
    </row>
    <row r="27" spans="1:15" ht="35.25" customHeight="1" x14ac:dyDescent="0.2">
      <c r="A27" s="25" t="s">
        <v>58</v>
      </c>
      <c r="B27" s="26">
        <v>8.9</v>
      </c>
      <c r="C27" s="57">
        <f>C4</f>
        <v>7.2723645711668755E-2</v>
      </c>
      <c r="D27" s="27">
        <f t="shared" si="2"/>
        <v>9.5472404468338521</v>
      </c>
      <c r="E27" s="103">
        <f t="shared" si="8"/>
        <v>9.5499999999999989</v>
      </c>
      <c r="F27" s="28">
        <f t="shared" si="3"/>
        <v>7.3033707865168371E-2</v>
      </c>
      <c r="G27" s="112">
        <f t="shared" si="4"/>
        <v>8.31</v>
      </c>
      <c r="H27" s="80">
        <f t="shared" si="5"/>
        <v>0.42</v>
      </c>
      <c r="I27" s="80">
        <f t="shared" si="6"/>
        <v>0.83</v>
      </c>
      <c r="J27" s="86">
        <f t="shared" si="7"/>
        <v>9.56</v>
      </c>
      <c r="K27" s="100">
        <v>8.31</v>
      </c>
      <c r="L27" s="85">
        <f t="shared" si="9"/>
        <v>9.5544225000000012</v>
      </c>
    </row>
    <row r="28" spans="1:15" x14ac:dyDescent="0.2">
      <c r="B28" s="87"/>
      <c r="C28" s="79"/>
      <c r="D28" s="86"/>
      <c r="E28" s="87"/>
      <c r="F28" s="88"/>
      <c r="L28" s="40">
        <f ca="1">TODAY()</f>
        <v>45926</v>
      </c>
    </row>
    <row r="30" spans="1:15" ht="47.25" customHeight="1" x14ac:dyDescent="0.2">
      <c r="A30" s="255"/>
      <c r="B30" s="255"/>
      <c r="C30" s="255"/>
      <c r="D30" s="255"/>
      <c r="E30" s="255"/>
      <c r="F30" s="255"/>
      <c r="G30" s="255"/>
    </row>
    <row r="31" spans="1:15" ht="47.25" customHeight="1" x14ac:dyDescent="0.2">
      <c r="A31" s="255"/>
      <c r="B31" s="255"/>
      <c r="C31" s="255"/>
      <c r="D31" s="255"/>
      <c r="E31" s="255"/>
      <c r="F31" s="255"/>
      <c r="G31" s="255"/>
    </row>
    <row r="32" spans="1:15" x14ac:dyDescent="0.2">
      <c r="A32" s="255"/>
      <c r="B32" s="255"/>
      <c r="C32" s="255"/>
      <c r="D32" s="255"/>
    </row>
  </sheetData>
  <mergeCells count="7">
    <mergeCell ref="G11:J11"/>
    <mergeCell ref="A1:L1"/>
    <mergeCell ref="A13:B13"/>
    <mergeCell ref="A32:D32"/>
    <mergeCell ref="A30:G30"/>
    <mergeCell ref="A31:G31"/>
    <mergeCell ref="B17:J17"/>
  </mergeCells>
  <conditionalFormatting sqref="J4">
    <cfRule type="expression" dxfId="23" priority="49" stopIfTrue="1">
      <formula>$J$4&lt;&gt;$E$4</formula>
    </cfRule>
    <cfRule type="expression" dxfId="22" priority="50" stopIfTrue="1">
      <formula>$J$4=$E$4</formula>
    </cfRule>
  </conditionalFormatting>
  <conditionalFormatting sqref="J5:J6">
    <cfRule type="expression" dxfId="21" priority="45" stopIfTrue="1">
      <formula>$J$5&lt;&gt;$E$5</formula>
    </cfRule>
    <cfRule type="expression" dxfId="20" priority="46" stopIfTrue="1">
      <formula>$J$5=$E$5</formula>
    </cfRule>
  </conditionalFormatting>
  <conditionalFormatting sqref="J6">
    <cfRule type="expression" dxfId="19" priority="41" stopIfTrue="1">
      <formula>$J$6&lt;&gt;$E$6</formula>
    </cfRule>
    <cfRule type="expression" dxfId="18" priority="42" stopIfTrue="1">
      <formula>ROUND($J$6,2)=ROUND($E$6,2)</formula>
    </cfRule>
  </conditionalFormatting>
  <conditionalFormatting sqref="J7">
    <cfRule type="expression" dxfId="17" priority="43" stopIfTrue="1">
      <formula>$J$7&lt;&gt;$E$7</formula>
    </cfRule>
    <cfRule type="expression" dxfId="16" priority="44" stopIfTrue="1">
      <formula>$J$7=$E$7</formula>
    </cfRule>
  </conditionalFormatting>
  <conditionalFormatting sqref="J21">
    <cfRule type="expression" dxfId="15" priority="30" stopIfTrue="1">
      <formula>$J$21&lt;&gt;$E$21</formula>
    </cfRule>
    <cfRule type="expression" dxfId="14" priority="32" stopIfTrue="1">
      <formula>$J$21=$E$21</formula>
    </cfRule>
  </conditionalFormatting>
  <conditionalFormatting sqref="J22">
    <cfRule type="expression" dxfId="13" priority="22" stopIfTrue="1">
      <formula>$J$22&lt;&gt;$E$22</formula>
    </cfRule>
    <cfRule type="expression" dxfId="12" priority="23" stopIfTrue="1">
      <formula>$J$22=$E$22</formula>
    </cfRule>
  </conditionalFormatting>
  <conditionalFormatting sqref="J23">
    <cfRule type="expression" dxfId="11" priority="20" stopIfTrue="1">
      <formula>$J$23&lt;&gt;$E$23</formula>
    </cfRule>
    <cfRule type="expression" dxfId="10" priority="21" stopIfTrue="1">
      <formula>$J$23=$E$23</formula>
    </cfRule>
  </conditionalFormatting>
  <conditionalFormatting sqref="J24">
    <cfRule type="expression" dxfId="9" priority="18" stopIfTrue="1">
      <formula>$J$24&lt;&gt;$E$24</formula>
    </cfRule>
    <cfRule type="expression" dxfId="8" priority="19" stopIfTrue="1">
      <formula>$J$24=$E$24</formula>
    </cfRule>
  </conditionalFormatting>
  <conditionalFormatting sqref="J25">
    <cfRule type="expression" dxfId="7" priority="16" stopIfTrue="1">
      <formula>$J$25&lt;&gt;$E$25</formula>
    </cfRule>
    <cfRule type="expression" dxfId="6" priority="17" stopIfTrue="1">
      <formula>$J$25=$E$25</formula>
    </cfRule>
  </conditionalFormatting>
  <conditionalFormatting sqref="J26">
    <cfRule type="expression" dxfId="5" priority="12" stopIfTrue="1">
      <formula>$J$26&lt;&gt;$E$26</formula>
    </cfRule>
    <cfRule type="expression" dxfId="4" priority="13" stopIfTrue="1">
      <formula>$J$26=$E$26</formula>
    </cfRule>
  </conditionalFormatting>
  <conditionalFormatting sqref="J27">
    <cfRule type="expression" dxfId="3" priority="14" stopIfTrue="1">
      <formula>$J$27&lt;&gt;$E$27</formula>
    </cfRule>
    <cfRule type="expression" dxfId="2" priority="15" stopIfTrue="1">
      <formula>$J$27=$E$27</formula>
    </cfRule>
  </conditionalFormatting>
  <conditionalFormatting sqref="L4:L7">
    <cfRule type="cellIs" dxfId="1" priority="4" operator="greaterThan">
      <formula>0</formula>
    </cfRule>
  </conditionalFormatting>
  <conditionalFormatting sqref="L21:L27">
    <cfRule type="cellIs" dxfId="0" priority="1" operator="greaterThan">
      <formula>0</formula>
    </cfRule>
  </conditionalFormatting>
  <printOptions horizontalCentered="1" verticalCentered="1"/>
  <pageMargins left="0.70866141732283472" right="0.70866141732283472" top="0.74803149606299213" bottom="0.74803149606299213" header="0.31496062992125984" footer="0.31496062992125984"/>
  <pageSetup paperSize="5" scale="75" orientation="landscape" r:id="rId1"/>
  <rowBreaks count="1" manualBreakCount="1">
    <brk id="1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8"/>
  <sheetViews>
    <sheetView zoomScale="145" zoomScaleNormal="145" workbookViewId="0">
      <selection activeCell="A30" sqref="A30"/>
    </sheetView>
  </sheetViews>
  <sheetFormatPr baseColWidth="10" defaultColWidth="11.28515625" defaultRowHeight="12.75" x14ac:dyDescent="0.2"/>
  <cols>
    <col min="1" max="1" width="30.7109375" style="17" customWidth="1"/>
    <col min="2" max="2" width="26.28515625" style="17" customWidth="1"/>
    <col min="3" max="3" width="15.28515625" style="17" customWidth="1"/>
    <col min="4" max="4" width="30.7109375" style="17" customWidth="1"/>
    <col min="5" max="5" width="22.7109375" style="17" customWidth="1"/>
    <col min="6" max="6" width="11.28515625" style="17"/>
    <col min="7" max="7" width="37.140625" style="17" customWidth="1"/>
    <col min="8" max="16384" width="11.28515625" style="17"/>
  </cols>
  <sheetData>
    <row r="1" spans="1:7" s="15" customFormat="1" x14ac:dyDescent="0.2">
      <c r="A1" s="257" t="s">
        <v>12</v>
      </c>
      <c r="B1" s="257"/>
      <c r="D1" s="15" t="s">
        <v>15</v>
      </c>
    </row>
    <row r="2" spans="1:7" s="16" customFormat="1" ht="13.5" thickBot="1" x14ac:dyDescent="0.25">
      <c r="A2" s="16" t="s">
        <v>13</v>
      </c>
      <c r="B2" s="16" t="s">
        <v>14</v>
      </c>
      <c r="D2" s="16" t="s">
        <v>13</v>
      </c>
      <c r="E2" s="16" t="s">
        <v>14</v>
      </c>
    </row>
    <row r="3" spans="1:7" x14ac:dyDescent="0.2">
      <c r="A3" s="71" t="s">
        <v>153</v>
      </c>
      <c r="B3" s="70" t="s">
        <v>150</v>
      </c>
      <c r="D3" s="71" t="s">
        <v>156</v>
      </c>
      <c r="E3" s="70" t="s">
        <v>150</v>
      </c>
      <c r="G3" s="68"/>
    </row>
    <row r="4" spans="1:7" x14ac:dyDescent="0.2">
      <c r="A4" s="71" t="s">
        <v>154</v>
      </c>
      <c r="B4" s="72" t="s">
        <v>151</v>
      </c>
      <c r="D4" s="71" t="s">
        <v>157</v>
      </c>
      <c r="E4" s="72" t="s">
        <v>151</v>
      </c>
      <c r="G4" s="68"/>
    </row>
    <row r="5" spans="1:7" ht="13.5" thickBot="1" x14ac:dyDescent="0.25">
      <c r="A5" s="73" t="s">
        <v>155</v>
      </c>
      <c r="B5" s="72" t="s">
        <v>152</v>
      </c>
      <c r="D5" s="73" t="s">
        <v>158</v>
      </c>
      <c r="E5" s="72" t="s">
        <v>152</v>
      </c>
    </row>
    <row r="6" spans="1:7" x14ac:dyDescent="0.2">
      <c r="A6" s="71" t="s">
        <v>195</v>
      </c>
      <c r="B6" s="72" t="s">
        <v>183</v>
      </c>
      <c r="D6" s="71" t="s">
        <v>207</v>
      </c>
      <c r="E6" s="72" t="s">
        <v>183</v>
      </c>
    </row>
    <row r="7" spans="1:7" x14ac:dyDescent="0.2">
      <c r="A7" s="71" t="s">
        <v>196</v>
      </c>
      <c r="B7" s="72" t="s">
        <v>184</v>
      </c>
      <c r="D7" s="71" t="s">
        <v>208</v>
      </c>
      <c r="E7" s="72" t="s">
        <v>184</v>
      </c>
    </row>
    <row r="8" spans="1:7" x14ac:dyDescent="0.2">
      <c r="A8" s="71" t="s">
        <v>197</v>
      </c>
      <c r="B8" s="72" t="s">
        <v>185</v>
      </c>
      <c r="D8" s="71" t="s">
        <v>209</v>
      </c>
      <c r="E8" s="72" t="s">
        <v>185</v>
      </c>
    </row>
    <row r="9" spans="1:7" x14ac:dyDescent="0.2">
      <c r="A9" s="71" t="s">
        <v>198</v>
      </c>
      <c r="B9" s="72" t="s">
        <v>186</v>
      </c>
      <c r="D9" s="71" t="s">
        <v>210</v>
      </c>
      <c r="E9" s="72" t="s">
        <v>186</v>
      </c>
    </row>
    <row r="10" spans="1:7" x14ac:dyDescent="0.2">
      <c r="A10" s="76" t="s">
        <v>199</v>
      </c>
      <c r="B10" s="72" t="s">
        <v>187</v>
      </c>
      <c r="D10" s="76" t="s">
        <v>211</v>
      </c>
      <c r="E10" s="72" t="s">
        <v>187</v>
      </c>
    </row>
    <row r="11" spans="1:7" x14ac:dyDescent="0.2">
      <c r="A11" s="75" t="s">
        <v>200</v>
      </c>
      <c r="B11" s="72" t="s">
        <v>188</v>
      </c>
      <c r="D11" s="71" t="s">
        <v>212</v>
      </c>
      <c r="E11" s="72" t="s">
        <v>188</v>
      </c>
    </row>
    <row r="12" spans="1:7" x14ac:dyDescent="0.2">
      <c r="A12" s="71" t="s">
        <v>201</v>
      </c>
      <c r="B12" s="72" t="s">
        <v>189</v>
      </c>
      <c r="D12" s="71" t="s">
        <v>213</v>
      </c>
      <c r="E12" s="72" t="s">
        <v>189</v>
      </c>
    </row>
    <row r="13" spans="1:7" x14ac:dyDescent="0.2">
      <c r="A13" s="71" t="s">
        <v>202</v>
      </c>
      <c r="B13" s="72" t="s">
        <v>190</v>
      </c>
      <c r="D13" s="71" t="s">
        <v>214</v>
      </c>
      <c r="E13" s="72" t="s">
        <v>190</v>
      </c>
    </row>
    <row r="14" spans="1:7" x14ac:dyDescent="0.2">
      <c r="A14" s="71" t="s">
        <v>203</v>
      </c>
      <c r="B14" s="72" t="s">
        <v>191</v>
      </c>
      <c r="D14" s="71" t="s">
        <v>215</v>
      </c>
      <c r="E14" s="72" t="s">
        <v>191</v>
      </c>
    </row>
    <row r="15" spans="1:7" x14ac:dyDescent="0.2">
      <c r="A15" s="71" t="s">
        <v>204</v>
      </c>
      <c r="B15" s="72" t="s">
        <v>192</v>
      </c>
      <c r="D15" s="71" t="s">
        <v>216</v>
      </c>
      <c r="E15" s="72" t="s">
        <v>192</v>
      </c>
    </row>
    <row r="16" spans="1:7" x14ac:dyDescent="0.2">
      <c r="A16" s="71" t="s">
        <v>205</v>
      </c>
      <c r="B16" s="72" t="s">
        <v>193</v>
      </c>
      <c r="C16" s="16"/>
      <c r="D16" s="71" t="s">
        <v>217</v>
      </c>
      <c r="E16" s="72" t="s">
        <v>193</v>
      </c>
    </row>
    <row r="17" spans="1:5" ht="13.5" thickBot="1" x14ac:dyDescent="0.25">
      <c r="A17" s="73" t="s">
        <v>206</v>
      </c>
      <c r="B17" s="74" t="s">
        <v>194</v>
      </c>
      <c r="D17" s="73" t="s">
        <v>218</v>
      </c>
      <c r="E17" s="74" t="s">
        <v>194</v>
      </c>
    </row>
    <row r="21" spans="1:5" x14ac:dyDescent="0.2">
      <c r="A21" s="258" t="s">
        <v>224</v>
      </c>
      <c r="B21" s="258"/>
    </row>
    <row r="22" spans="1:5" x14ac:dyDescent="0.2">
      <c r="A22" s="16"/>
      <c r="B22" s="16"/>
    </row>
    <row r="23" spans="1:5" x14ac:dyDescent="0.2">
      <c r="A23" s="17" t="s">
        <v>39</v>
      </c>
    </row>
    <row r="24" spans="1:5" x14ac:dyDescent="0.2">
      <c r="A24" s="77" t="s">
        <v>219</v>
      </c>
      <c r="B24"/>
    </row>
    <row r="25" spans="1:5" ht="15" x14ac:dyDescent="0.25">
      <c r="A25" s="18" t="s">
        <v>220</v>
      </c>
      <c r="B25"/>
    </row>
    <row r="26" spans="1:5" ht="15" x14ac:dyDescent="0.25">
      <c r="A26" s="18"/>
      <c r="B26"/>
    </row>
    <row r="27" spans="1:5" ht="15" x14ac:dyDescent="0.25">
      <c r="A27" s="18"/>
      <c r="B27"/>
    </row>
    <row r="28" spans="1:5" ht="15" x14ac:dyDescent="0.25">
      <c r="A28" s="18"/>
      <c r="B28"/>
    </row>
    <row r="29" spans="1:5" ht="15" x14ac:dyDescent="0.25">
      <c r="A29" s="18"/>
      <c r="B29"/>
    </row>
    <row r="30" spans="1:5" ht="15" x14ac:dyDescent="0.25">
      <c r="A30" s="18"/>
      <c r="B30"/>
    </row>
    <row r="31" spans="1:5" ht="15" x14ac:dyDescent="0.25">
      <c r="A31" s="18"/>
      <c r="B31"/>
    </row>
    <row r="32" spans="1:5" ht="15" x14ac:dyDescent="0.25">
      <c r="A32" s="18"/>
      <c r="B32"/>
    </row>
    <row r="33" spans="1:3" ht="15" x14ac:dyDescent="0.25">
      <c r="A33" s="18"/>
      <c r="B33"/>
    </row>
    <row r="34" spans="1:3" ht="15" x14ac:dyDescent="0.25">
      <c r="A34" s="18"/>
      <c r="B34"/>
    </row>
    <row r="35" spans="1:3" ht="15" x14ac:dyDescent="0.25">
      <c r="A35" s="18"/>
      <c r="B35"/>
    </row>
    <row r="36" spans="1:3" ht="15" x14ac:dyDescent="0.25">
      <c r="A36" s="18"/>
      <c r="B36"/>
    </row>
    <row r="37" spans="1:3" ht="15" x14ac:dyDescent="0.25">
      <c r="A37" s="18"/>
      <c r="B37"/>
    </row>
    <row r="38" spans="1:3" ht="15" x14ac:dyDescent="0.25">
      <c r="A38" s="18"/>
      <c r="B38"/>
    </row>
    <row r="39" spans="1:3" x14ac:dyDescent="0.2">
      <c r="A39" s="65"/>
      <c r="B39" s="65"/>
    </row>
    <row r="40" spans="1:3" x14ac:dyDescent="0.2">
      <c r="A40" s="66"/>
      <c r="B40" s="68"/>
    </row>
    <row r="41" spans="1:3" x14ac:dyDescent="0.2">
      <c r="A41" s="69"/>
      <c r="B41" s="68"/>
    </row>
    <row r="42" spans="1:3" x14ac:dyDescent="0.2">
      <c r="A42" s="68"/>
      <c r="B42" s="68"/>
    </row>
    <row r="43" spans="1:3" x14ac:dyDescent="0.2">
      <c r="A43" s="259" t="s">
        <v>48</v>
      </c>
      <c r="B43" s="259"/>
      <c r="C43" s="259"/>
    </row>
    <row r="44" spans="1:3" x14ac:dyDescent="0.2">
      <c r="A44" s="17" t="s">
        <v>80</v>
      </c>
      <c r="B44" s="68" t="str">
        <f>MID(A44,1,SEARCH("202",A44)+4)</f>
        <v xml:space="preserve">20 janvier 2021 </v>
      </c>
      <c r="C44" s="68" t="str">
        <f>MID(A44,SEARCH("202",A44)+5,40)</f>
        <v>Décembre 2020</v>
      </c>
    </row>
    <row r="45" spans="1:3" x14ac:dyDescent="0.2">
      <c r="A45" s="17" t="s">
        <v>81</v>
      </c>
      <c r="B45" s="68" t="str">
        <f t="shared" ref="B45:B58" si="0">MID(A45,1,SEARCH("202",A45)+4)</f>
        <v xml:space="preserve">17 février 2021 </v>
      </c>
      <c r="C45" s="68" t="str">
        <f t="shared" ref="C45:C58" si="1">MID(A45,SEARCH("202",A45)+5,40)</f>
        <v>Janvier 2021</v>
      </c>
    </row>
    <row r="46" spans="1:3" x14ac:dyDescent="0.2">
      <c r="A46" s="17" t="s">
        <v>82</v>
      </c>
      <c r="B46" s="68" t="str">
        <f t="shared" si="0"/>
        <v xml:space="preserve">17 mars 2021 </v>
      </c>
      <c r="C46" s="68" t="str">
        <f t="shared" si="1"/>
        <v>Février 2021</v>
      </c>
    </row>
    <row r="47" spans="1:3" x14ac:dyDescent="0.2">
      <c r="A47" s="17" t="s">
        <v>83</v>
      </c>
      <c r="B47" s="68" t="str">
        <f t="shared" si="0"/>
        <v xml:space="preserve">21 avril 2021 </v>
      </c>
      <c r="C47" s="68" t="str">
        <f t="shared" si="1"/>
        <v>Mars 2021</v>
      </c>
    </row>
    <row r="48" spans="1:3" x14ac:dyDescent="0.2">
      <c r="A48" s="17" t="s">
        <v>84</v>
      </c>
      <c r="B48" s="68" t="str">
        <f t="shared" si="0"/>
        <v xml:space="preserve">19 mai 2021 </v>
      </c>
      <c r="C48" s="68" t="str">
        <f t="shared" si="1"/>
        <v>Avril 2021</v>
      </c>
    </row>
    <row r="49" spans="1:3" x14ac:dyDescent="0.2">
      <c r="A49" s="17" t="s">
        <v>85</v>
      </c>
      <c r="B49" s="68" t="str">
        <f t="shared" si="0"/>
        <v xml:space="preserve">16 juin 2021 </v>
      </c>
      <c r="C49" s="68" t="str">
        <f t="shared" si="1"/>
        <v>Mai 2021</v>
      </c>
    </row>
    <row r="50" spans="1:3" x14ac:dyDescent="0.2">
      <c r="A50" s="17" t="s">
        <v>86</v>
      </c>
      <c r="B50" s="68" t="str">
        <f t="shared" si="0"/>
        <v xml:space="preserve">28 juillet 2021 </v>
      </c>
      <c r="C50" s="68" t="str">
        <f t="shared" si="1"/>
        <v>Juin 2021</v>
      </c>
    </row>
    <row r="51" spans="1:3" x14ac:dyDescent="0.2">
      <c r="A51" s="17" t="s">
        <v>87</v>
      </c>
      <c r="B51" s="68" t="str">
        <f t="shared" si="0"/>
        <v xml:space="preserve">18 août 2021 </v>
      </c>
      <c r="C51" s="68" t="str">
        <f t="shared" si="1"/>
        <v>Juillet 2021</v>
      </c>
    </row>
    <row r="52" spans="1:3" x14ac:dyDescent="0.2">
      <c r="A52" s="17" t="s">
        <v>88</v>
      </c>
      <c r="B52" s="68" t="str">
        <f t="shared" si="0"/>
        <v xml:space="preserve">15 septembre 2021 </v>
      </c>
      <c r="C52" s="68" t="str">
        <f t="shared" si="1"/>
        <v>Août 2021</v>
      </c>
    </row>
    <row r="53" spans="1:3" x14ac:dyDescent="0.2">
      <c r="A53" s="17" t="s">
        <v>89</v>
      </c>
      <c r="B53" s="68" t="str">
        <f t="shared" si="0"/>
        <v xml:space="preserve">20 octobre 2021 </v>
      </c>
      <c r="C53" s="68" t="str">
        <f t="shared" si="1"/>
        <v>Septembre 2021</v>
      </c>
    </row>
    <row r="54" spans="1:3" x14ac:dyDescent="0.2">
      <c r="A54" s="17" t="s">
        <v>90</v>
      </c>
      <c r="B54" s="68" t="str">
        <f t="shared" si="0"/>
        <v xml:space="preserve">17 novembre 2021 </v>
      </c>
      <c r="C54" s="68" t="str">
        <f t="shared" si="1"/>
        <v>Octobre 2021</v>
      </c>
    </row>
    <row r="55" spans="1:3" x14ac:dyDescent="0.2">
      <c r="A55" s="17" t="s">
        <v>91</v>
      </c>
      <c r="B55" s="68" t="str">
        <f t="shared" si="0"/>
        <v xml:space="preserve">15 décembre 2021 </v>
      </c>
      <c r="C55" s="68" t="str">
        <f t="shared" si="1"/>
        <v>Novembre 2021</v>
      </c>
    </row>
    <row r="56" spans="1:3" x14ac:dyDescent="0.2">
      <c r="A56" s="17" t="s">
        <v>92</v>
      </c>
      <c r="B56" s="68" t="str">
        <f t="shared" si="0"/>
        <v xml:space="preserve">19 janvier 2022 </v>
      </c>
      <c r="C56" s="68" t="str">
        <f t="shared" si="1"/>
        <v>Décembre 2021</v>
      </c>
    </row>
    <row r="57" spans="1:3" x14ac:dyDescent="0.2">
      <c r="A57" s="17" t="s">
        <v>93</v>
      </c>
      <c r="B57" s="68" t="str">
        <f t="shared" si="0"/>
        <v xml:space="preserve">23 février 2022 </v>
      </c>
      <c r="C57" s="68" t="str">
        <f t="shared" si="1"/>
        <v>Janvier 2022</v>
      </c>
    </row>
    <row r="58" spans="1:3" x14ac:dyDescent="0.2">
      <c r="A58" s="17" t="s">
        <v>94</v>
      </c>
      <c r="B58" s="68" t="str">
        <f t="shared" si="0"/>
        <v xml:space="preserve">16 mars 2022 </v>
      </c>
      <c r="C58" s="68" t="str">
        <f t="shared" si="1"/>
        <v>Février 2022</v>
      </c>
    </row>
  </sheetData>
  <mergeCells count="3">
    <mergeCell ref="A1:B1"/>
    <mergeCell ref="A21:B21"/>
    <mergeCell ref="A43:C43"/>
  </mergeCells>
  <hyperlinks>
    <hyperlink ref="A24" r:id="rId1" xr:uid="{00000000-0004-0000-0300-000000000000}"/>
  </hyperlinks>
  <pageMargins left="0.7" right="0.7" top="0.75" bottom="0.75" header="0.3" footer="0.3"/>
  <pageSetup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6fdcf7d-40ab-4783-a839-eec7cd5116b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A8F3A237923D9459E907D4A7DB63EBA" ma:contentTypeVersion="10" ma:contentTypeDescription="Create a new document." ma:contentTypeScope="" ma:versionID="f83ba874b0626b4b8bb524001f2f7e5b">
  <xsd:schema xmlns:xsd="http://www.w3.org/2001/XMLSchema" xmlns:xs="http://www.w3.org/2001/XMLSchema" xmlns:p="http://schemas.microsoft.com/office/2006/metadata/properties" xmlns:ns3="63535f25-0f7a-446f-8641-6a0b6c9bedae" xmlns:ns4="c6fdcf7d-40ab-4783-a839-eec7cd5116b1" targetNamespace="http://schemas.microsoft.com/office/2006/metadata/properties" ma:root="true" ma:fieldsID="32150939b8b7c793608f2693fdfe3999" ns3:_="" ns4:_="">
    <xsd:import namespace="63535f25-0f7a-446f-8641-6a0b6c9bedae"/>
    <xsd:import namespace="c6fdcf7d-40ab-4783-a839-eec7cd5116b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LengthInSeconds"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535f25-0f7a-446f-8641-6a0b6c9beda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fdcf7d-40ab-4783-a839-eec7cd5116b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B748B3-BE86-4EE1-95E3-A98BB155A8D7}">
  <ds:schemaRefs>
    <ds:schemaRef ds:uri="http://www.w3.org/XML/1998/namespace"/>
    <ds:schemaRef ds:uri="http://schemas.openxmlformats.org/package/2006/metadata/core-properties"/>
    <ds:schemaRef ds:uri="http://schemas.microsoft.com/office/2006/metadata/properties"/>
    <ds:schemaRef ds:uri="c6fdcf7d-40ab-4783-a839-eec7cd5116b1"/>
    <ds:schemaRef ds:uri="http://purl.org/dc/terms/"/>
    <ds:schemaRef ds:uri="http://schemas.microsoft.com/office/2006/documentManagement/types"/>
    <ds:schemaRef ds:uri="http://schemas.microsoft.com/office/infopath/2007/PartnerControls"/>
    <ds:schemaRef ds:uri="http://purl.org/dc/elements/1.1/"/>
    <ds:schemaRef ds:uri="63535f25-0f7a-446f-8641-6a0b6c9bedae"/>
    <ds:schemaRef ds:uri="http://purl.org/dc/dcmitype/"/>
  </ds:schemaRefs>
</ds:datastoreItem>
</file>

<file path=customXml/itemProps2.xml><?xml version="1.0" encoding="utf-8"?>
<ds:datastoreItem xmlns:ds="http://schemas.openxmlformats.org/officeDocument/2006/customXml" ds:itemID="{6272B465-B8DF-42D2-93CA-690BF0530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535f25-0f7a-446f-8641-6a0b6c9bedae"/>
    <ds:schemaRef ds:uri="c6fdcf7d-40ab-4783-a839-eec7cd5116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B17C07-DAC3-4D27-996B-3605669120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CALCUL ICT</vt:lpstr>
      <vt:lpstr>DONNÉES STATCAN</vt:lpstr>
      <vt:lpstr>Données aut. FE</vt:lpstr>
      <vt:lpstr>CALCUL PROPOSÉ DES TARIFS</vt:lpstr>
      <vt:lpstr>Dates de diffusion StatCan</vt:lpstr>
      <vt:lpstr>'CALCUL PROPOSÉ DES TARIFS'!Impression_des_titres</vt:lpstr>
      <vt:lpstr>'DONNÉES STATCAN'!Impression_des_titres</vt:lpstr>
      <vt:lpstr>'CALCUL ICT'!Zone_d_impression</vt:lpstr>
      <vt:lpstr>'DONNÉES STATCAN'!Zone_d_impression</vt:lpstr>
    </vt:vector>
  </TitlesOfParts>
  <Company>CTQ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ctqdef1</dc:creator>
  <cp:lastModifiedBy>Éric Lebrun</cp:lastModifiedBy>
  <cp:lastPrinted>2021-12-14T14:16:16Z</cp:lastPrinted>
  <dcterms:created xsi:type="dcterms:W3CDTF">2012-10-19T19:58:22Z</dcterms:created>
  <dcterms:modified xsi:type="dcterms:W3CDTF">2025-09-26T17:07:19Z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0x010100DA8F3A237923D9459E907D4A7DB63EBA</vt:lpwstr>
  </property>
</Properties>
</file>